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C:\Users\aejustice1\Dropbox\GiANT_Waist_Exome_paper\FINAL\"/>
    </mc:Choice>
  </mc:AlternateContent>
  <xr:revisionPtr revIDLastSave="0" documentId="10_ncr:100000_{12B0BFA7-BD89-4053-A56B-C8E094F73DFA}" xr6:coauthVersionLast="31" xr6:coauthVersionMax="31" xr10:uidLastSave="{00000000-0000-0000-0000-000000000000}"/>
  <bookViews>
    <workbookView xWindow="7740" yWindow="0" windowWidth="23355" windowHeight="13275" tabRatio="774" firstSheet="8" activeTab="9" xr2:uid="{00000000-000D-0000-FFFF-FFFF00000000}"/>
  </bookViews>
  <sheets>
    <sheet name="STable_Sdata_renumber" sheetId="72" r:id="rId1"/>
    <sheet name="Table 1" sheetId="68" r:id="rId2"/>
    <sheet name="Table 2" sheetId="69" r:id="rId3"/>
    <sheet name="SD1. Study Designs" sheetId="26" r:id="rId4"/>
    <sheet name="SD2. Genotyping and QC" sheetId="27" r:id="rId5"/>
    <sheet name="SD3. Study Descriptives" sheetId="28" r:id="rId6"/>
    <sheet name="SD4. Suggestive SNVs-CombSexes" sheetId="1" r:id="rId7"/>
    <sheet name="SD5. Suggestive SNVs-Men" sheetId="10" r:id="rId8"/>
    <sheet name="SD6. Suggestive SNVs-Women" sheetId="8" r:id="rId9"/>
    <sheet name="ST1. Collider_bias" sheetId="75" r:id="rId10"/>
    <sheet name="ST2. Gene-based Results" sheetId="19" r:id="rId11"/>
    <sheet name="ST3. ConditnlDiscovry-Multi" sheetId="50" r:id="rId12"/>
    <sheet name="SD7. GWASconditional-ukbb" sheetId="67" r:id="rId13"/>
    <sheet name="ST4. GWASconditional_EC" sheetId="66" r:id="rId14"/>
    <sheet name="SD8. DEPICT All SNVs" sheetId="24" r:id="rId15"/>
    <sheet name="SD9. DEPICT Novel SNVs" sheetId="25" r:id="rId16"/>
    <sheet name="SD10. PASCAL" sheetId="70" r:id="rId17"/>
    <sheet name="STD11. Cross Trait Lookups" sheetId="16" r:id="rId18"/>
    <sheet name="ST5. Total Body Fat lookups" sheetId="57" r:id="rId19"/>
    <sheet name="ST6. Truncal Fat lookups" sheetId="58" r:id="rId20"/>
    <sheet name="SD12. GWAS Catalog Lookups" sheetId="74" r:id="rId21"/>
    <sheet name="SD13. Monogenic gene lists" sheetId="23" r:id="rId22"/>
    <sheet name="ST7. Variance Explained" sheetId="56" r:id="rId23"/>
    <sheet name="ST8. UKBB Penetrance Anal" sheetId="52" r:id="rId24"/>
    <sheet name="ST9. Fly Results" sheetId="55" r:id="rId25"/>
    <sheet name="SD14. eQTL_METSIM" sheetId="59" r:id="rId26"/>
    <sheet name="SD15. eQTL_GTEx " sheetId="60" r:id="rId27"/>
    <sheet name="SD16. Locus Lookups" sheetId="21" r:id="rId28"/>
    <sheet name="SD17. VEP annotation" sheetId="36" r:id="rId29"/>
    <sheet name="ST10. Inflation_Factor" sheetId="20" r:id="rId30"/>
    <sheet name="SD18.Acknowledgements" sheetId="46" r:id="rId31"/>
  </sheets>
  <externalReferences>
    <externalReference r:id="rId32"/>
    <externalReference r:id="rId33"/>
    <externalReference r:id="rId34"/>
    <externalReference r:id="rId35"/>
    <externalReference r:id="rId36"/>
  </externalReferences>
  <definedNames>
    <definedName name="_xlnm._FilterDatabase" localSheetId="26" hidden="1">'SD15. eQTL_GTEx '!#REF!</definedName>
    <definedName name="_xlnm._FilterDatabase" localSheetId="27" hidden="1">'SD16. Locus Lookups'!$A$2:$W$67</definedName>
    <definedName name="_xlnm._FilterDatabase" localSheetId="6" hidden="1">'SD4. Suggestive SNVs-CombSexes'!$A$4:$CZ$4</definedName>
    <definedName name="_xlnm._FilterDatabase" localSheetId="7" hidden="1">'SD5. Suggestive SNVs-Men'!$A$4:$AX$74</definedName>
    <definedName name="_xlnm._FilterDatabase" localSheetId="8" hidden="1">'SD6. Suggestive SNVs-Women'!$A$4:$AX$74</definedName>
    <definedName name="a">'SD4. Suggestive SNVs-CombSexes'!$C:$AM</definedName>
    <definedName name="all">[1]Sheet5!$A:$C</definedName>
    <definedName name="alla">'SD4. Suggestive SNVs-CombSexes'!$C:$W</definedName>
    <definedName name="allanca">[2]bmi_collidar_allanc_all_whrsnps!$C:$F</definedName>
    <definedName name="allancw">[2]bmi_collidar_allanc_women_whrsn!$C:$F</definedName>
    <definedName name="allm">'SD5. Suggestive SNVs-Men'!$C:$Y</definedName>
    <definedName name="allw">'SD6. Suggestive SNVs-Women'!$C:$Y</definedName>
    <definedName name="cond" localSheetId="16">'[3]ST7. ConditnlDiscovry-Multi'!$B:$E</definedName>
    <definedName name="cond" localSheetId="20">'[4]ST4. ConditnlDiscovry-Multi'!$B:$E</definedName>
    <definedName name="cond">'ST3. ConditnlDiscovry-Multi'!$B:$E</definedName>
    <definedName name="ea">[1]Sheet5!$E:$G</definedName>
    <definedName name="eaa">[2]bmi_collidar_ea_all_whrsnps!$C:$F</definedName>
    <definedName name="kl">#REF!</definedName>
    <definedName name="m">'SD5. Suggestive SNVs-Men'!$C:$AP</definedName>
    <definedName name="men" localSheetId="16">'[3]ST5. Suggestive SNVs-Men'!$C$4:$W$74</definedName>
    <definedName name="men" localSheetId="20">'[4]SD2. Suggestive SNVs-Men'!$C$4:$W$74</definedName>
    <definedName name="men" localSheetId="9">'[5]ST 5.Suggestive SNVs-Men'!$B$4:$V$74</definedName>
    <definedName name="men">'SD5. Suggestive SNVs-Men'!$C$4:$W$74</definedName>
    <definedName name="menkeep">'SD5. Suggestive SNVs-Men'!$C:$C</definedName>
    <definedName name="_xlnm.Print_Area" localSheetId="3">'SD1. Study Designs'!$A$1:$J$83</definedName>
    <definedName name="_xlnm.Print_Area" localSheetId="26">'SD15. eQTL_GTEx '!$A$1:$P$123</definedName>
    <definedName name="_xlnm.Print_Area" localSheetId="4">'SD2. Genotyping and QC'!$A$1:$K$83</definedName>
    <definedName name="_xlnm.Print_Area" localSheetId="5">'SD3. Study Descriptives'!$A$1:$O$651</definedName>
    <definedName name="_xlnm.Print_Area" localSheetId="12">'SD7. GWASconditional-ukbb'!$A$1:$P$92</definedName>
    <definedName name="_xlnm.Print_Area" localSheetId="9">'ST1. Collider_bias'!$A$1:$R$83</definedName>
    <definedName name="_xlnm.Print_Area" localSheetId="29">'ST10. Inflation_Factor'!$A$1:$F$16</definedName>
    <definedName name="_xlnm.Print_Area" localSheetId="10">'ST2. Gene-based Results'!$A$1:$L$19</definedName>
    <definedName name="_xlnm.Print_Area" localSheetId="11">'ST3. ConditnlDiscovry-Multi'!$A$1:$T$78</definedName>
    <definedName name="_xlnm.Print_Area" localSheetId="13">'ST4. GWASconditional_EC'!$A$1:$U$36</definedName>
    <definedName name="_xlnm.Print_Area" localSheetId="18">'ST5. Total Body Fat lookups'!$A$1:$S$57</definedName>
    <definedName name="_xlnm.Print_Area" localSheetId="19">'ST6. Truncal Fat lookups'!$A$1:$S$57</definedName>
    <definedName name="_xlnm.Print_Area" localSheetId="22">'ST7. Variance Explained'!$A$1:$W$58</definedName>
    <definedName name="_xlnm.Print_Area" localSheetId="23">'ST8. UKBB Penetrance Anal'!$A$1:$AD$28</definedName>
    <definedName name="snps">'SD4. Suggestive SNVs-CombSexes'!$C:$Y</definedName>
    <definedName name="w">'SD6. Suggestive SNVs-Women'!$C:$AO</definedName>
    <definedName name="wkeep">'SD6. Suggestive SNVs-Women'!$C:$C</definedName>
    <definedName name="women" localSheetId="9">'[5]ST 6. Suggestive SNVs-Women'!$B$4:$V$74</definedName>
    <definedName name="women">'SD6. Suggestive SNVs-Women'!$C$4:$W$74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Q78" i="75" l="1"/>
  <c r="P78" i="75"/>
  <c r="R78" i="75" s="1"/>
  <c r="Q76" i="75"/>
  <c r="P76" i="75"/>
  <c r="R76" i="75" s="1"/>
  <c r="L76" i="75"/>
  <c r="Q75" i="75"/>
  <c r="R75" i="75" s="1"/>
  <c r="P75" i="75"/>
  <c r="L75" i="75"/>
  <c r="Q73" i="75"/>
  <c r="P73" i="75"/>
  <c r="R73" i="75" s="1"/>
  <c r="L73" i="75"/>
  <c r="Q72" i="75"/>
  <c r="R72" i="75" s="1"/>
  <c r="P72" i="75"/>
  <c r="L72" i="75"/>
  <c r="Q71" i="75"/>
  <c r="R71" i="75" s="1"/>
  <c r="P71" i="75"/>
  <c r="L71" i="75"/>
  <c r="R70" i="75"/>
  <c r="Q70" i="75"/>
  <c r="P70" i="75"/>
  <c r="L70" i="75"/>
  <c r="Q69" i="75"/>
  <c r="P69" i="75"/>
  <c r="R69" i="75" s="1"/>
  <c r="L69" i="75"/>
  <c r="Q68" i="75"/>
  <c r="R68" i="75" s="1"/>
  <c r="P68" i="75"/>
  <c r="L68" i="75"/>
  <c r="Q67" i="75"/>
  <c r="P67" i="75"/>
  <c r="R67" i="75" s="1"/>
  <c r="L67" i="75"/>
  <c r="Q66" i="75"/>
  <c r="R66" i="75" s="1"/>
  <c r="P66" i="75"/>
  <c r="L66" i="75"/>
  <c r="Q65" i="75"/>
  <c r="R65" i="75" s="1"/>
  <c r="P65" i="75"/>
  <c r="L65" i="75"/>
  <c r="R64" i="75"/>
  <c r="Q64" i="75"/>
  <c r="P64" i="75"/>
  <c r="L64" i="75"/>
  <c r="Q63" i="75"/>
  <c r="P63" i="75"/>
  <c r="R63" i="75" s="1"/>
  <c r="L63" i="75"/>
  <c r="Q62" i="75"/>
  <c r="R62" i="75" s="1"/>
  <c r="P62" i="75"/>
  <c r="L62" i="75"/>
  <c r="Q61" i="75"/>
  <c r="P61" i="75"/>
  <c r="R61" i="75" s="1"/>
  <c r="L61" i="75"/>
  <c r="Q60" i="75"/>
  <c r="R60" i="75" s="1"/>
  <c r="P60" i="75"/>
  <c r="L60" i="75"/>
  <c r="Q59" i="75"/>
  <c r="R59" i="75" s="1"/>
  <c r="P59" i="75"/>
  <c r="L59" i="75"/>
  <c r="R58" i="75"/>
  <c r="Q58" i="75"/>
  <c r="P58" i="75"/>
  <c r="L58" i="75"/>
  <c r="Q56" i="75"/>
  <c r="P56" i="75"/>
  <c r="R56" i="75" s="1"/>
  <c r="L56" i="75"/>
  <c r="Q55" i="75"/>
  <c r="R55" i="75" s="1"/>
  <c r="P55" i="75"/>
  <c r="L55" i="75"/>
  <c r="Q54" i="75"/>
  <c r="P54" i="75"/>
  <c r="R54" i="75" s="1"/>
  <c r="L54" i="75"/>
  <c r="Q53" i="75"/>
  <c r="R53" i="75" s="1"/>
  <c r="P53" i="75"/>
  <c r="L53" i="75"/>
  <c r="Q51" i="75"/>
  <c r="R51" i="75" s="1"/>
  <c r="P51" i="75"/>
  <c r="L51" i="75"/>
  <c r="R50" i="75"/>
  <c r="Q50" i="75"/>
  <c r="P50" i="75"/>
  <c r="L50" i="75"/>
  <c r="Q49" i="75"/>
  <c r="P49" i="75"/>
  <c r="R49" i="75" s="1"/>
  <c r="L49" i="75"/>
  <c r="Q48" i="75"/>
  <c r="R48" i="75" s="1"/>
  <c r="P48" i="75"/>
  <c r="L48" i="75"/>
  <c r="Q47" i="75"/>
  <c r="P47" i="75"/>
  <c r="R47" i="75" s="1"/>
  <c r="L47" i="75"/>
  <c r="Q46" i="75"/>
  <c r="R46" i="75" s="1"/>
  <c r="P46" i="75"/>
  <c r="L46" i="75"/>
  <c r="Q45" i="75"/>
  <c r="R45" i="75" s="1"/>
  <c r="P45" i="75"/>
  <c r="L45" i="75"/>
  <c r="R44" i="75"/>
  <c r="Q44" i="75"/>
  <c r="P44" i="75"/>
  <c r="L44" i="75"/>
  <c r="Q43" i="75"/>
  <c r="P43" i="75"/>
  <c r="R43" i="75" s="1"/>
  <c r="L43" i="75"/>
  <c r="Q42" i="75"/>
  <c r="R42" i="75" s="1"/>
  <c r="P42" i="75"/>
  <c r="L42" i="75"/>
  <c r="Q41" i="75"/>
  <c r="P41" i="75"/>
  <c r="R41" i="75" s="1"/>
  <c r="L41" i="75"/>
  <c r="Q40" i="75"/>
  <c r="R40" i="75" s="1"/>
  <c r="P40" i="75"/>
  <c r="L40" i="75"/>
  <c r="Q39" i="75"/>
  <c r="R39" i="75" s="1"/>
  <c r="P39" i="75"/>
  <c r="L39" i="75"/>
  <c r="R38" i="75"/>
  <c r="Q38" i="75"/>
  <c r="P38" i="75"/>
  <c r="L38" i="75"/>
  <c r="Q37" i="75"/>
  <c r="P37" i="75"/>
  <c r="R37" i="75" s="1"/>
  <c r="L37" i="75"/>
  <c r="Q36" i="75"/>
  <c r="R36" i="75" s="1"/>
  <c r="P36" i="75"/>
  <c r="L36" i="75"/>
  <c r="Q35" i="75"/>
  <c r="P35" i="75"/>
  <c r="R35" i="75" s="1"/>
  <c r="L35" i="75"/>
  <c r="Q34" i="75"/>
  <c r="R34" i="75" s="1"/>
  <c r="P34" i="75"/>
  <c r="L34" i="75"/>
  <c r="Q33" i="75"/>
  <c r="R33" i="75" s="1"/>
  <c r="P33" i="75"/>
  <c r="L33" i="75"/>
  <c r="R32" i="75"/>
  <c r="Q32" i="75"/>
  <c r="P32" i="75"/>
  <c r="L32" i="75"/>
  <c r="Q31" i="75"/>
  <c r="P31" i="75"/>
  <c r="R31" i="75" s="1"/>
  <c r="L31" i="75"/>
  <c r="Q30" i="75"/>
  <c r="R30" i="75" s="1"/>
  <c r="P30" i="75"/>
  <c r="L30" i="75"/>
  <c r="Q29" i="75"/>
  <c r="P29" i="75"/>
  <c r="R29" i="75" s="1"/>
  <c r="L29" i="75"/>
  <c r="Q28" i="75"/>
  <c r="R28" i="75" s="1"/>
  <c r="P28" i="75"/>
  <c r="L28" i="75"/>
  <c r="Q27" i="75"/>
  <c r="R27" i="75" s="1"/>
  <c r="P27" i="75"/>
  <c r="L27" i="75"/>
  <c r="R26" i="75"/>
  <c r="Q26" i="75"/>
  <c r="P26" i="75"/>
  <c r="L26" i="75"/>
  <c r="Q25" i="75"/>
  <c r="P25" i="75"/>
  <c r="R25" i="75" s="1"/>
  <c r="L25" i="75"/>
  <c r="Q24" i="75"/>
  <c r="R24" i="75" s="1"/>
  <c r="P24" i="75"/>
  <c r="L24" i="75"/>
  <c r="Q23" i="75"/>
  <c r="P23" i="75"/>
  <c r="R23" i="75" s="1"/>
  <c r="L23" i="75"/>
  <c r="Q22" i="75"/>
  <c r="R22" i="75" s="1"/>
  <c r="P22" i="75"/>
  <c r="L22" i="75"/>
  <c r="Q21" i="75"/>
  <c r="R21" i="75" s="1"/>
  <c r="P21" i="75"/>
  <c r="L21" i="75"/>
  <c r="R20" i="75"/>
  <c r="Q20" i="75"/>
  <c r="P20" i="75"/>
  <c r="L20" i="75"/>
  <c r="Q19" i="75"/>
  <c r="P19" i="75"/>
  <c r="R19" i="75" s="1"/>
  <c r="L19" i="75"/>
  <c r="Q18" i="75"/>
  <c r="R18" i="75" s="1"/>
  <c r="P18" i="75"/>
  <c r="L18" i="75"/>
  <c r="Q17" i="75"/>
  <c r="P17" i="75"/>
  <c r="R17" i="75" s="1"/>
  <c r="L17" i="75"/>
  <c r="Q16" i="75"/>
  <c r="R16" i="75" s="1"/>
  <c r="P16" i="75"/>
  <c r="L16" i="75"/>
  <c r="Q15" i="75"/>
  <c r="R15" i="75" s="1"/>
  <c r="P15" i="75"/>
  <c r="L15" i="75"/>
  <c r="R14" i="75"/>
  <c r="Q14" i="75"/>
  <c r="P14" i="75"/>
  <c r="L14" i="75"/>
  <c r="Q13" i="75"/>
  <c r="P13" i="75"/>
  <c r="R13" i="75" s="1"/>
  <c r="L13" i="75"/>
  <c r="Q12" i="75"/>
  <c r="R12" i="75" s="1"/>
  <c r="P12" i="75"/>
  <c r="L12" i="75"/>
  <c r="Q11" i="75"/>
  <c r="P11" i="75"/>
  <c r="R11" i="75" s="1"/>
  <c r="L11" i="75"/>
  <c r="Q10" i="75"/>
  <c r="R10" i="75" s="1"/>
  <c r="P10" i="75"/>
  <c r="L10" i="75"/>
  <c r="Q9" i="75"/>
  <c r="R9" i="75" s="1"/>
  <c r="P9" i="75"/>
  <c r="L9" i="75"/>
  <c r="R8" i="75"/>
  <c r="Q8" i="75"/>
  <c r="P8" i="75"/>
  <c r="L8" i="75"/>
  <c r="Q7" i="75"/>
  <c r="P7" i="75"/>
  <c r="R7" i="75" s="1"/>
  <c r="L7" i="75"/>
  <c r="Q6" i="75"/>
  <c r="R6" i="75" s="1"/>
  <c r="P6" i="75"/>
  <c r="L6" i="75"/>
  <c r="Q5" i="75"/>
  <c r="P5" i="75"/>
  <c r="R5" i="75" s="1"/>
  <c r="L5" i="75"/>
  <c r="M3" i="74"/>
  <c r="M4" i="74"/>
  <c r="M5" i="74"/>
  <c r="M6" i="74"/>
  <c r="M7" i="74"/>
  <c r="M8" i="74"/>
  <c r="M9" i="74"/>
  <c r="M10" i="74"/>
  <c r="M11" i="74"/>
  <c r="M12" i="74"/>
  <c r="M13" i="74"/>
  <c r="M14" i="74"/>
  <c r="M15" i="74"/>
  <c r="M16" i="74"/>
  <c r="M17" i="74"/>
  <c r="M18" i="74"/>
  <c r="M19" i="74"/>
  <c r="M20" i="74"/>
  <c r="M21" i="74"/>
  <c r="M22" i="74"/>
  <c r="M23" i="74"/>
  <c r="M24" i="74"/>
  <c r="M25" i="74"/>
  <c r="M26" i="74"/>
  <c r="M27" i="74"/>
  <c r="M28" i="74"/>
  <c r="M29" i="74"/>
  <c r="M30" i="74"/>
  <c r="M31" i="74"/>
  <c r="M32" i="74"/>
  <c r="M33" i="74"/>
  <c r="M34" i="74"/>
  <c r="M35" i="74"/>
  <c r="M36" i="74"/>
  <c r="M37" i="74"/>
  <c r="M38" i="74"/>
  <c r="M39" i="74"/>
  <c r="M40" i="74"/>
  <c r="M41" i="74"/>
  <c r="M42" i="74"/>
  <c r="M43" i="74"/>
  <c r="M44" i="74"/>
  <c r="M45" i="74"/>
  <c r="M46" i="74"/>
  <c r="M47" i="74"/>
  <c r="M48" i="74"/>
  <c r="M49" i="74"/>
  <c r="M50" i="74"/>
  <c r="M51" i="74"/>
  <c r="M52" i="74"/>
  <c r="M53" i="74"/>
  <c r="M54" i="74"/>
  <c r="M55" i="74"/>
  <c r="M56" i="74"/>
  <c r="M57" i="74"/>
  <c r="M58" i="74"/>
  <c r="M59" i="74"/>
  <c r="M60" i="74"/>
  <c r="M61" i="74"/>
  <c r="M62" i="74"/>
  <c r="M63" i="74"/>
  <c r="M64" i="74"/>
  <c r="M65" i="74"/>
  <c r="M66" i="74"/>
  <c r="M67" i="74"/>
  <c r="M68" i="74"/>
  <c r="M69" i="74"/>
  <c r="M70" i="74"/>
  <c r="M71" i="74"/>
  <c r="M72" i="74"/>
  <c r="M73" i="74"/>
  <c r="M74" i="74"/>
  <c r="M75" i="74"/>
  <c r="M76" i="74"/>
  <c r="M77" i="74"/>
  <c r="M78" i="74"/>
  <c r="M79" i="74"/>
  <c r="M80" i="74"/>
  <c r="M81" i="74"/>
  <c r="M82" i="74"/>
  <c r="M83" i="74"/>
  <c r="M84" i="74"/>
  <c r="M85" i="74"/>
  <c r="M86" i="74"/>
  <c r="M87" i="74"/>
  <c r="M88" i="74"/>
  <c r="M89" i="74"/>
  <c r="M90" i="74"/>
  <c r="M91" i="74"/>
  <c r="M92" i="74"/>
  <c r="M93" i="74"/>
  <c r="M94" i="74"/>
  <c r="M95" i="74"/>
  <c r="M96" i="74"/>
  <c r="M97" i="74"/>
  <c r="M98" i="74"/>
  <c r="M99" i="74"/>
  <c r="M100" i="74"/>
  <c r="M101" i="74"/>
  <c r="M102" i="74"/>
  <c r="M103" i="74"/>
  <c r="M104" i="74"/>
  <c r="M105" i="74"/>
  <c r="M106" i="74"/>
  <c r="M107" i="74"/>
  <c r="M108" i="74"/>
  <c r="M109" i="74"/>
  <c r="M110" i="74"/>
  <c r="M111" i="74"/>
  <c r="M112" i="74"/>
  <c r="M113" i="74"/>
  <c r="M114" i="74"/>
  <c r="M115" i="74"/>
  <c r="M116" i="74"/>
  <c r="M117" i="74"/>
  <c r="M118" i="74"/>
  <c r="M119" i="74"/>
  <c r="M120" i="74"/>
  <c r="M121" i="74"/>
  <c r="M122" i="74"/>
  <c r="M123" i="74"/>
  <c r="M124" i="74"/>
  <c r="M125" i="74"/>
  <c r="M126" i="74"/>
  <c r="M127" i="74"/>
  <c r="M128" i="74"/>
  <c r="M129" i="74"/>
  <c r="M130" i="74"/>
  <c r="M131" i="74"/>
  <c r="M132" i="74"/>
  <c r="M133" i="74"/>
  <c r="M134" i="74"/>
  <c r="M135" i="74"/>
  <c r="M136" i="74"/>
  <c r="M137" i="74"/>
  <c r="M138" i="74"/>
  <c r="M139" i="74"/>
  <c r="M140" i="74"/>
  <c r="M141" i="74"/>
  <c r="M142" i="74"/>
  <c r="M143" i="74"/>
  <c r="M144" i="74"/>
  <c r="M145" i="74"/>
  <c r="M146" i="74"/>
  <c r="M147" i="74"/>
  <c r="M148" i="74"/>
  <c r="M149" i="74"/>
  <c r="M150" i="74"/>
  <c r="M151" i="74"/>
  <c r="M152" i="74"/>
  <c r="M153" i="74"/>
  <c r="M154" i="74"/>
  <c r="M155" i="74"/>
  <c r="M156" i="74"/>
  <c r="M157" i="74"/>
  <c r="M158" i="74"/>
  <c r="M159" i="74"/>
  <c r="M160" i="74"/>
  <c r="M161" i="74"/>
  <c r="M162" i="74"/>
  <c r="M163" i="74"/>
  <c r="M164" i="74"/>
  <c r="M165" i="74"/>
  <c r="M166" i="74"/>
  <c r="M167" i="74"/>
  <c r="M168" i="74"/>
  <c r="M169" i="74"/>
  <c r="M170" i="74"/>
  <c r="M171" i="74"/>
  <c r="M172" i="74"/>
  <c r="M173" i="74"/>
  <c r="M174" i="74"/>
  <c r="M175" i="74"/>
  <c r="M176" i="74"/>
  <c r="M177" i="74"/>
  <c r="M178" i="74"/>
  <c r="M179" i="74"/>
  <c r="M180" i="74"/>
  <c r="M181" i="74"/>
  <c r="M182" i="74"/>
  <c r="M183" i="74"/>
  <c r="M184" i="74"/>
  <c r="M185" i="74"/>
  <c r="M186" i="74"/>
  <c r="M187" i="74"/>
  <c r="M188" i="74"/>
  <c r="M189" i="74"/>
  <c r="M190" i="74"/>
  <c r="M191" i="74"/>
  <c r="M192" i="74"/>
  <c r="M193" i="74"/>
  <c r="M194" i="74"/>
  <c r="M195" i="74"/>
  <c r="M196" i="74"/>
  <c r="M197" i="74"/>
  <c r="M198" i="74"/>
  <c r="M199" i="74"/>
  <c r="H20" i="52" l="1"/>
  <c r="H18" i="52"/>
  <c r="H16" i="52"/>
  <c r="H14" i="52"/>
  <c r="H12" i="52"/>
  <c r="H10" i="52"/>
  <c r="H8" i="52"/>
  <c r="H6" i="52"/>
  <c r="H4" i="52"/>
  <c r="AK1" i="8" l="1"/>
  <c r="AJ1" i="8"/>
  <c r="F31" i="66" l="1"/>
  <c r="F30" i="66"/>
  <c r="F27" i="66"/>
  <c r="F26" i="66"/>
  <c r="F25" i="66"/>
  <c r="F24" i="66"/>
  <c r="F23" i="66"/>
  <c r="F22" i="66"/>
  <c r="F21" i="66"/>
  <c r="F18" i="66"/>
  <c r="F17" i="66"/>
  <c r="F16" i="66"/>
  <c r="F15" i="66"/>
  <c r="F14" i="66"/>
  <c r="F13" i="66"/>
  <c r="F12" i="66"/>
  <c r="F11" i="66"/>
  <c r="F10" i="66"/>
  <c r="F9" i="66"/>
  <c r="F8" i="66"/>
  <c r="F7" i="66"/>
  <c r="F6" i="66"/>
  <c r="N66" i="21"/>
  <c r="N47" i="21"/>
  <c r="N46" i="21"/>
  <c r="N45" i="21"/>
  <c r="N44" i="21"/>
  <c r="N28" i="21"/>
  <c r="N27" i="21"/>
</calcChain>
</file>

<file path=xl/sharedStrings.xml><?xml version="1.0" encoding="utf-8"?>
<sst xmlns="http://schemas.openxmlformats.org/spreadsheetml/2006/main" count="24161" uniqueCount="5917">
  <si>
    <t>none</t>
  </si>
  <si>
    <t xml:space="preserve"> </t>
  </si>
  <si>
    <r>
      <t>Chr:Position (GRCh37)</t>
    </r>
    <r>
      <rPr>
        <b/>
        <vertAlign val="superscript"/>
        <sz val="11"/>
        <color theme="1"/>
        <rFont val="Calibri"/>
        <family val="2"/>
        <scheme val="minor"/>
      </rPr>
      <t>b</t>
    </r>
  </si>
  <si>
    <t>rsID</t>
  </si>
  <si>
    <t>Effect 
Allele</t>
  </si>
  <si>
    <t>Other Allele</t>
  </si>
  <si>
    <r>
      <t>Amino Acid Change</t>
    </r>
    <r>
      <rPr>
        <b/>
        <vertAlign val="superscript"/>
        <sz val="11"/>
        <color theme="1"/>
        <rFont val="Calibri"/>
        <family val="2"/>
        <scheme val="minor"/>
      </rPr>
      <t>c</t>
    </r>
  </si>
  <si>
    <t>N</t>
  </si>
  <si>
    <t>Effect Allele Frequency</t>
  </si>
  <si>
    <r>
      <t>Effect size</t>
    </r>
    <r>
      <rPr>
        <b/>
        <vertAlign val="superscript"/>
        <sz val="11"/>
        <color theme="1"/>
        <rFont val="Calibri"/>
        <family val="2"/>
        <scheme val="minor"/>
      </rPr>
      <t>e</t>
    </r>
    <r>
      <rPr>
        <b/>
        <sz val="11"/>
        <color theme="1"/>
        <rFont val="Calibri"/>
        <family val="2"/>
        <scheme val="minor"/>
      </rPr>
      <t xml:space="preserve"> (SD/allele)</t>
    </r>
  </si>
  <si>
    <t>SE</t>
  </si>
  <si>
    <t>P-value</t>
  </si>
  <si>
    <r>
      <t>P-value for Sex-heterogeneity</t>
    </r>
    <r>
      <rPr>
        <b/>
        <vertAlign val="superscript"/>
        <sz val="11"/>
        <color theme="1"/>
        <rFont val="Calibri"/>
        <family val="2"/>
        <scheme val="minor"/>
      </rPr>
      <t>f</t>
    </r>
  </si>
  <si>
    <t>All Ancestry Additive model Sex-combined analyses</t>
  </si>
  <si>
    <t>1:119427467</t>
  </si>
  <si>
    <t>rs61730011</t>
  </si>
  <si>
    <t>A</t>
  </si>
  <si>
    <t>C</t>
  </si>
  <si>
    <t>TBX15</t>
  </si>
  <si>
    <t>M566R</t>
  </si>
  <si>
    <t>rs2645294, rs12731372, rs12143789, rs1106529</t>
  </si>
  <si>
    <t>1:119469188</t>
  </si>
  <si>
    <t>rs10494217</t>
  </si>
  <si>
    <t>T</t>
  </si>
  <si>
    <t>G</t>
  </si>
  <si>
    <t>H156N</t>
  </si>
  <si>
    <t>1:154987704</t>
  </si>
  <si>
    <t>rs141845046</t>
  </si>
  <si>
    <t>ZBTB7B</t>
  </si>
  <si>
    <t>P190S</t>
  </si>
  <si>
    <t>rs905938</t>
  </si>
  <si>
    <t>2:158412701</t>
  </si>
  <si>
    <t>rs55920843</t>
  </si>
  <si>
    <t>ACVR1C</t>
  </si>
  <si>
    <t>N150H</t>
  </si>
  <si>
    <t>-</t>
  </si>
  <si>
    <t>2:165551201</t>
  </si>
  <si>
    <t>rs7607980</t>
  </si>
  <si>
    <t>COBLL1</t>
  </si>
  <si>
    <t>N941D</t>
  </si>
  <si>
    <t>rs1128249, rs10195252, rs12692737, rs12692738, rs17185198</t>
  </si>
  <si>
    <t>2:188343497</t>
  </si>
  <si>
    <t>rs7586970</t>
  </si>
  <si>
    <t>TFPI</t>
  </si>
  <si>
    <t>N221S</t>
  </si>
  <si>
    <t>rs1569135</t>
  </si>
  <si>
    <t>3:50597092</t>
  </si>
  <si>
    <t>rs1034405</t>
  </si>
  <si>
    <t>C3orf18</t>
  </si>
  <si>
    <t>A162V</t>
  </si>
  <si>
    <t>3:52558008</t>
  </si>
  <si>
    <t>rs13303</t>
  </si>
  <si>
    <t>M113T</t>
  </si>
  <si>
    <t>rs2276824</t>
  </si>
  <si>
    <t>3:52833805</t>
  </si>
  <si>
    <t>rs3617</t>
  </si>
  <si>
    <t>Q315K</t>
  </si>
  <si>
    <t>3:129137188</t>
  </si>
  <si>
    <t>rs62266958</t>
  </si>
  <si>
    <t>R197H</t>
  </si>
  <si>
    <t>rs10804591</t>
  </si>
  <si>
    <t>3:129284818</t>
  </si>
  <si>
    <t>rs2625973</t>
  </si>
  <si>
    <t>L1412V</t>
  </si>
  <si>
    <t>4:89625427</t>
  </si>
  <si>
    <t>rs1804080</t>
  </si>
  <si>
    <t>E946Q</t>
  </si>
  <si>
    <t>rs9991328</t>
  </si>
  <si>
    <t>4:89668859</t>
  </si>
  <si>
    <t>rs7657817</t>
  </si>
  <si>
    <t>V443I</t>
  </si>
  <si>
    <t>4:120528327</t>
  </si>
  <si>
    <t>rs3733526</t>
  </si>
  <si>
    <t>PDE5A</t>
  </si>
  <si>
    <t>A41V</t>
  </si>
  <si>
    <t>5:176516631</t>
  </si>
  <si>
    <t>rs1966265</t>
  </si>
  <si>
    <t>FGFR4</t>
  </si>
  <si>
    <t>V10I</t>
  </si>
  <si>
    <t>rs6556301</t>
  </si>
  <si>
    <t>6:7211818</t>
  </si>
  <si>
    <t>rs1334576</t>
  </si>
  <si>
    <t>RREB1</t>
  </si>
  <si>
    <t>G195R</t>
  </si>
  <si>
    <t>rs1294410</t>
  </si>
  <si>
    <t>6:26108117</t>
  </si>
  <si>
    <t>rs146860658</t>
  </si>
  <si>
    <t>HIST1H1T</t>
  </si>
  <si>
    <t>A69T</t>
  </si>
  <si>
    <t>6:34827085</t>
  </si>
  <si>
    <t>rs9469913</t>
  </si>
  <si>
    <t>UHRF1BP1</t>
  </si>
  <si>
    <t>Q984H</t>
  </si>
  <si>
    <t>rs1776897</t>
  </si>
  <si>
    <t>6:127476516</t>
  </si>
  <si>
    <t>rs1892172</t>
  </si>
  <si>
    <t>synonymous</t>
  </si>
  <si>
    <t>rs11961815, rs72959041, rs1936805</t>
  </si>
  <si>
    <t>6:127767954</t>
  </si>
  <si>
    <t>rs139745911</t>
  </si>
  <si>
    <t>P504S</t>
  </si>
  <si>
    <t>7:6449496</t>
  </si>
  <si>
    <t>rs2303361</t>
  </si>
  <si>
    <t>DAGLB</t>
  </si>
  <si>
    <t>Q664R</t>
  </si>
  <si>
    <t>7:73012042</t>
  </si>
  <si>
    <t>rs35332062</t>
  </si>
  <si>
    <t>MLXIPL</t>
  </si>
  <si>
    <t>A358V</t>
  </si>
  <si>
    <t>rs6976930</t>
  </si>
  <si>
    <t>7:73020337</t>
  </si>
  <si>
    <t>rs3812316</t>
  </si>
  <si>
    <t>Q241H</t>
  </si>
  <si>
    <t>10:95931087</t>
  </si>
  <si>
    <t>rs17417407</t>
  </si>
  <si>
    <t>PLCE1</t>
  </si>
  <si>
    <t>R240L</t>
  </si>
  <si>
    <t>rs10786152</t>
  </si>
  <si>
    <t>10:123279643</t>
  </si>
  <si>
    <t>rs138315382</t>
  </si>
  <si>
    <t>FGFR2</t>
  </si>
  <si>
    <t>11:64031241</t>
  </si>
  <si>
    <t>rs35169799</t>
  </si>
  <si>
    <t>PLCB3</t>
  </si>
  <si>
    <t>S778L</t>
  </si>
  <si>
    <t>rs11231693</t>
  </si>
  <si>
    <t>11:65403651</t>
  </si>
  <si>
    <t>rs7114037</t>
  </si>
  <si>
    <t>PCNXL3</t>
  </si>
  <si>
    <t>H1822Q</t>
  </si>
  <si>
    <t>12:48143315</t>
  </si>
  <si>
    <t>rs145878042</t>
  </si>
  <si>
    <t>RAPGEF3</t>
  </si>
  <si>
    <t>L300P</t>
  </si>
  <si>
    <t>12:108618630</t>
  </si>
  <si>
    <t>rs3764002</t>
  </si>
  <si>
    <t>WSCD2</t>
  </si>
  <si>
    <t>T266I</t>
  </si>
  <si>
    <t>12:123444507</t>
  </si>
  <si>
    <t>rs58843120</t>
  </si>
  <si>
    <t>F92L</t>
  </si>
  <si>
    <t>rs4765219, rs863750</t>
  </si>
  <si>
    <t>12:124265687</t>
  </si>
  <si>
    <t>rs11057353</t>
  </si>
  <si>
    <t>S228P</t>
  </si>
  <si>
    <t>12:124330311</t>
  </si>
  <si>
    <t>rs34934281</t>
  </si>
  <si>
    <t>T1785M</t>
  </si>
  <si>
    <t>12:124427306</t>
  </si>
  <si>
    <t>rs11057401</t>
  </si>
  <si>
    <t>S53C</t>
  </si>
  <si>
    <t>15:42032383</t>
  </si>
  <si>
    <t>rs17677991</t>
  </si>
  <si>
    <t>MGA</t>
  </si>
  <si>
    <t>P1523A</t>
  </si>
  <si>
    <t>15:56756285</t>
  </si>
  <si>
    <t>rs1715919</t>
  </si>
  <si>
    <t>MNS1</t>
  </si>
  <si>
    <t>Q55P</t>
  </si>
  <si>
    <t>rs8030605</t>
  </si>
  <si>
    <t>16:4432029</t>
  </si>
  <si>
    <t>rs3810818</t>
  </si>
  <si>
    <t>E384A</t>
  </si>
  <si>
    <t>16:4445327</t>
  </si>
  <si>
    <t>rs3747579</t>
  </si>
  <si>
    <t>R193Q</t>
  </si>
  <si>
    <t>16:4484396</t>
  </si>
  <si>
    <t>rs1139653</t>
  </si>
  <si>
    <t>N75Y</t>
  </si>
  <si>
    <t>16:67397580</t>
  </si>
  <si>
    <t>rs9922085</t>
  </si>
  <si>
    <t>LRRC36</t>
  </si>
  <si>
    <t>R101P</t>
  </si>
  <si>
    <t>rs6499129</t>
  </si>
  <si>
    <t>16:67409180</t>
  </si>
  <si>
    <t>rs8052655</t>
  </si>
  <si>
    <t>G388S</t>
  </si>
  <si>
    <t>19:18285944</t>
  </si>
  <si>
    <t>rs11554159</t>
  </si>
  <si>
    <t>R76Q</t>
  </si>
  <si>
    <t>rs12608504</t>
  </si>
  <si>
    <t>19:18304700</t>
  </si>
  <si>
    <t>rs874628</t>
  </si>
  <si>
    <t>M72V</t>
  </si>
  <si>
    <t>19:49232226</t>
  </si>
  <si>
    <t>rs2287922</t>
  </si>
  <si>
    <t>RASIP1</t>
  </si>
  <si>
    <t>R601C</t>
  </si>
  <si>
    <t>19:49244220</t>
  </si>
  <si>
    <t>rs2307019</t>
  </si>
  <si>
    <t>IZUMO1</t>
  </si>
  <si>
    <t>A333V</t>
  </si>
  <si>
    <t>20:33971914</t>
  </si>
  <si>
    <t>rs4911494</t>
  </si>
  <si>
    <t>R51Q</t>
  </si>
  <si>
    <t>rs224333</t>
  </si>
  <si>
    <t>20:34022387</t>
  </si>
  <si>
    <t>rs224331</t>
  </si>
  <si>
    <t>S276A</t>
  </si>
  <si>
    <t>20:42965811</t>
  </si>
  <si>
    <t>rs144098855</t>
  </si>
  <si>
    <t>R3HDML</t>
  </si>
  <si>
    <t>P5L</t>
  </si>
  <si>
    <t>All Ancestry Recessive model Sex-combined analyses</t>
  </si>
  <si>
    <t>17:17425631</t>
  </si>
  <si>
    <t>rs897453</t>
  </si>
  <si>
    <t>PEMT</t>
  </si>
  <si>
    <t>V58L</t>
  </si>
  <si>
    <t>rs4646404</t>
  </si>
  <si>
    <t>European Ancestry Additive model Sex-combined analyses</t>
  </si>
  <si>
    <t>1:173802608</t>
  </si>
  <si>
    <t>rs35515638</t>
  </si>
  <si>
    <t>DARS2</t>
  </si>
  <si>
    <t>K196R</t>
  </si>
  <si>
    <t>3:129293256</t>
  </si>
  <si>
    <t>rs2255703</t>
  </si>
  <si>
    <t>PLXND1</t>
  </si>
  <si>
    <t>M870V</t>
  </si>
  <si>
    <t>14:58838668</t>
  </si>
  <si>
    <t>rs1051860</t>
  </si>
  <si>
    <t>ARID4A</t>
  </si>
  <si>
    <t>15:42115747</t>
  </si>
  <si>
    <t>rs3959569</t>
  </si>
  <si>
    <t>MAPKBP1</t>
  </si>
  <si>
    <t>R1240H</t>
  </si>
  <si>
    <t>Abbreviations: GRCh37=human genome assembly build 37;rsID=based on dbSNP; VEP=Ensembl Variant Effect Predictor toolset; GTEx=Genotype-Tissue Expression project;SD=standard deviation; SE=standard error;N=sample size</t>
  </si>
  <si>
    <t>a Coding variants refer to variants located in the exons and splicing junction regions.</t>
  </si>
  <si>
    <t xml:space="preserve">b Variant positions are reported according to Human assembly build 37 and their alleles are coded based on the positive strand.  </t>
  </si>
  <si>
    <t>c The gene the variant falls in and amino acid change from the most abundant coding transcript is shown (protein annotation is based on VEP toolset and transcript abundance from GTEx database).</t>
  </si>
  <si>
    <t xml:space="preserve">       Shungin D et al. New genetic loci link adipose and insulin biology to body fat distribution. Nature 2015; 518, 187–196 doi:10.1038/nature14132</t>
  </si>
  <si>
    <t xml:space="preserve">       Graff M et al. Genome-wide physical activity interactions in adiposity – A meta-analysis of 200,452 adults. Plos Genet 2017; 13(4):e1006528.</t>
  </si>
  <si>
    <t xml:space="preserve">       Ng MCY et al. Discovery and Fine-Mapping of Adiposity Loci Using High Density Imputation of Genome-Wide Association Studies in Individuals of African Ancestry: African Ancestry Anthropometry Genetics Consortium.  PLoS Genet. 2017; 13 (4): e1006719.</t>
  </si>
  <si>
    <t>e Effect size is based on standard deviation (SD) per effect allele</t>
  </si>
  <si>
    <r>
      <t>Chr:Position (GRCh37)</t>
    </r>
    <r>
      <rPr>
        <b/>
        <vertAlign val="superscript"/>
        <sz val="11"/>
        <color theme="1"/>
        <rFont val="Calibri"/>
        <family val="2"/>
        <scheme val="minor"/>
      </rPr>
      <t>c</t>
    </r>
  </si>
  <si>
    <t>Effect Allele</t>
  </si>
  <si>
    <r>
      <t>Amino Acid Change</t>
    </r>
    <r>
      <rPr>
        <b/>
        <vertAlign val="superscript"/>
        <sz val="11"/>
        <color theme="1"/>
        <rFont val="Calibri"/>
        <family val="2"/>
        <scheme val="minor"/>
      </rPr>
      <t>d</t>
    </r>
  </si>
  <si>
    <r>
      <t>Identified in sex-combined analyses</t>
    </r>
    <r>
      <rPr>
        <b/>
        <vertAlign val="superscript"/>
        <sz val="11"/>
        <rFont val="Calibri"/>
        <family val="2"/>
        <scheme val="minor"/>
      </rPr>
      <t>e</t>
    </r>
  </si>
  <si>
    <r>
      <t xml:space="preserve">If locus is known, nearby (&lt; 1 MB) published variant(s) </t>
    </r>
    <r>
      <rPr>
        <b/>
        <vertAlign val="superscript"/>
        <sz val="11"/>
        <rFont val="Calibri"/>
        <family val="2"/>
        <scheme val="minor"/>
      </rPr>
      <t>f</t>
    </r>
  </si>
  <si>
    <r>
      <t>P-value for Sex-heterogeneity</t>
    </r>
    <r>
      <rPr>
        <b/>
        <vertAlign val="superscript"/>
        <sz val="11"/>
        <color theme="1"/>
        <rFont val="Calibri"/>
        <family val="2"/>
        <scheme val="minor"/>
      </rPr>
      <t>g</t>
    </r>
  </si>
  <si>
    <t>Men</t>
  </si>
  <si>
    <t>Women</t>
  </si>
  <si>
    <t>EAF</t>
  </si>
  <si>
    <r>
      <t>Effect</t>
    </r>
    <r>
      <rPr>
        <b/>
        <vertAlign val="superscript"/>
        <sz val="11"/>
        <color theme="1"/>
        <rFont val="Calibri"/>
        <family val="2"/>
        <scheme val="minor"/>
      </rPr>
      <t>h</t>
    </r>
    <r>
      <rPr>
        <b/>
        <sz val="11"/>
        <color theme="1"/>
        <rFont val="Calibri"/>
        <family val="2"/>
        <scheme val="minor"/>
      </rPr>
      <t xml:space="preserve"> (SD/allele)</t>
    </r>
  </si>
  <si>
    <t>Std Error</t>
  </si>
  <si>
    <t>All Ancestry Additive model Men only analyses</t>
  </si>
  <si>
    <t>13:96665697</t>
  </si>
  <si>
    <t>rs148108950</t>
  </si>
  <si>
    <t>UGGT2</t>
  </si>
  <si>
    <t>P175L</t>
  </si>
  <si>
    <t>No</t>
  </si>
  <si>
    <t>14:23312594</t>
  </si>
  <si>
    <t>rs1042704</t>
  </si>
  <si>
    <t>MMP14</t>
  </si>
  <si>
    <t>D273N</t>
  </si>
  <si>
    <t>All Ancestry Additive model Women only analyses</t>
  </si>
  <si>
    <t>Yes</t>
  </si>
  <si>
    <t>1:205130413</t>
  </si>
  <si>
    <t>rs3851294</t>
  </si>
  <si>
    <t>DSTYK</t>
  </si>
  <si>
    <t>C641R</t>
  </si>
  <si>
    <t>19:8429323</t>
  </si>
  <si>
    <t>rs116843064</t>
  </si>
  <si>
    <t>ANGPTL4</t>
  </si>
  <si>
    <t>E40K</t>
  </si>
  <si>
    <t>European Additive model Men only analyses</t>
  </si>
  <si>
    <t>UQCC1</t>
  </si>
  <si>
    <t xml:space="preserve">c Variant positions are reported according to Human assembly build 37 and their alleles are coded based on the positive strand.  </t>
  </si>
  <si>
    <t>d The gene the variant falls in and amino acid change from the most abundant coding transcript is shown (protein annotation is based on VEP toolset and transcript abundance from GTEx database).</t>
  </si>
  <si>
    <t>e Variant was also identified as array-wide significant in the sex-combined analyses.</t>
  </si>
  <si>
    <t>g P-value for sex heterogeneity, testing for difference between women-specific and men-specific beta estimates and standard errors, was calculated using EasyStrata: Winkler, T.W. et al. EasyStrata: evaluation and visualization of stratified genome-wide association meta-analysis data. Bioinformatics 2015: 31, 259-61. PMID: 25260699.</t>
  </si>
  <si>
    <t>h Effect size is based on standard deviation (SD) per effect allele</t>
  </si>
  <si>
    <r>
      <t xml:space="preserve">If locus is known, nearby (&lt; 1 MB) published variant(s) </t>
    </r>
    <r>
      <rPr>
        <b/>
        <vertAlign val="superscript"/>
        <sz val="11"/>
        <rFont val="Calibri"/>
        <family val="2"/>
        <scheme val="minor"/>
      </rPr>
      <t>d</t>
    </r>
  </si>
  <si>
    <t>Variants in Novel Loci</t>
  </si>
  <si>
    <t>Variants in Previously Identified Loci</t>
  </si>
  <si>
    <t>Study</t>
  </si>
  <si>
    <t>Study design</t>
  </si>
  <si>
    <t>Ethnicity</t>
  </si>
  <si>
    <t>Total sample size (N)</t>
  </si>
  <si>
    <t xml:space="preserve">Sample QC </t>
  </si>
  <si>
    <t>Samples in analyses (N)</t>
  </si>
  <si>
    <t>Anthropometric assessment method</t>
  </si>
  <si>
    <t>References</t>
  </si>
  <si>
    <t>Short name</t>
  </si>
  <si>
    <t>Full name</t>
  </si>
  <si>
    <r>
      <t>Call rate</t>
    </r>
    <r>
      <rPr>
        <b/>
        <vertAlign val="superscript"/>
        <sz val="11"/>
        <rFont val="Calibri"/>
        <family val="2"/>
        <scheme val="minor"/>
      </rPr>
      <t>a</t>
    </r>
  </si>
  <si>
    <t>Other exclusions</t>
  </si>
  <si>
    <t>AIRWAVE</t>
  </si>
  <si>
    <t>The Airwave Health Monitoring Study</t>
  </si>
  <si>
    <t>Population-based</t>
  </si>
  <si>
    <t>European</t>
  </si>
  <si>
    <t>≥ 95%</t>
  </si>
  <si>
    <t>missing weight and height</t>
  </si>
  <si>
    <t>measured</t>
  </si>
  <si>
    <t>[PMID: 25194498] Elliott P et al. The Airwave health Monitoring Study of police officers and staff in Great Britain: Rationale, design and methods. Environmental Research 2014; 134: 280-285</t>
  </si>
  <si>
    <t>AMISH</t>
  </si>
  <si>
    <t>Amish</t>
  </si>
  <si>
    <t>white European</t>
  </si>
  <si>
    <t xml:space="preserve">1) MAF &lt;1%.
2) HWE &lt;1E-06
</t>
  </si>
  <si>
    <t>1630 (BMI)
1633 (Height)
1613 (WHR)</t>
  </si>
  <si>
    <t>[PMID: 26374108] Bozzi, L.M. et al.: The Pharmacogenomics of Anti-Platelet Intervention (PAPI) Study: Variation in Platelet Response to Clopidogrel and Aspirin. Curr Vasc Pharmacol 14(1), 116-24 (2016).
[PMID: 18440328] Mitchell, B.D. et al.: The genetic response to short-term interventions affecting cardiovascular function: rationale and design of the Heredity and Phenotype Intervention (HAPI) Heart Study. Am Heart J. 155(5), 823-8 (2008)
[PMID: 17261661] Post, W. et al.: Determinants of coronary artery and aortic calcification in the Old Order Amish. Circulation 115(3), 717-24 (2007).
[PMID: 15621217] Sorkin, J. et al.: Exploring the genetics of longevity in the Old Order Amish. Mech Ageing Dev. 126(2), 347-50 (2005).</t>
  </si>
  <si>
    <t>ARIC</t>
  </si>
  <si>
    <t>Atherosclerosis Risk in Communities</t>
  </si>
  <si>
    <t>European American (EA) 
African American (AA)</t>
  </si>
  <si>
    <t>11,071 (EA)
3,364 (AA)</t>
  </si>
  <si>
    <t>1) call rate &lt;95%
2) PCA outliers
3)sex mismatch
4) inbreeding coefficient +/-6SD from mean of ancestry distribution
5) first degree relatedness
6) comparison with GWAS data, exclude if &gt;40% mismatch
7) (p10GC) genotype quality score, representing the 10th percentile of the distribution of GenCall scores across all SNPs
8) missing height, weight, or waist-hip measures (only exclude from analyses missing respective phentoype trait)</t>
  </si>
  <si>
    <t>10,870 (EA)
3,354 (AA)</t>
  </si>
  <si>
    <t xml:space="preserve">[PMID: 2646917] The Atherosclerosis Risk in Communities (ARIC) Study: design and objectives. The ARIC investigators. Am J Epidemiol. 1989 ;129(4):687-702.
[PMID: 2387450] Grove ML, Yu B, Cochran BJ, Haritunians T, Bis JC, et al. (2013) Best Practices and Joint Calling of the HumanExome BeadChip: The CHARGE Consortium. PLoS ONE 8(7): e68095. doi: 10.1371/journal.pone.0068095
</t>
  </si>
  <si>
    <t>BBMRI-NL</t>
  </si>
  <si>
    <t>Biobanking and Biomolecular Resources Research Infrastructure</t>
  </si>
  <si>
    <t>Compedium of 8 different studies</t>
  </si>
  <si>
    <t>≥ 99%</t>
  </si>
  <si>
    <t>1) Missing body weight and height
2) Heterozygosity
3) duplicate samples</t>
  </si>
  <si>
    <t>NA</t>
  </si>
  <si>
    <t>BC1958</t>
  </si>
  <si>
    <t>British 1958 Birth Cohort</t>
  </si>
  <si>
    <t>Population-based, all collected at 44 years of age</t>
  </si>
  <si>
    <t>≥ 98%</t>
  </si>
  <si>
    <t>Exomechip QC SOP v5 applied</t>
  </si>
  <si>
    <t>[PMID 17554300] Nature. 2007 Jun 7;447(7145):661-78. Genome-wide association study of 14,000 cases of seven common diseases and 3,000 shared controls. Wellcome Trust Case Control Consortium.</t>
  </si>
  <si>
    <t>BRAVE</t>
  </si>
  <si>
    <t>Bangladeshi Risk of Acute Ventricular Events</t>
  </si>
  <si>
    <t xml:space="preserve"> Case-control</t>
  </si>
  <si>
    <t>South-Asian (Bangladesh)</t>
  </si>
  <si>
    <t>~6143</t>
  </si>
  <si>
    <t>~≥ 97%</t>
  </si>
  <si>
    <t>(1) Intensity Outliers
(2) Gender mismatch
(3) Non-concordance with previous genotyping
(4) Duplicates or twins
(5) Excess sample Heterozygosity
(6) Ancestry outliers from PCA
(7) Missing phenotype within each analysis</t>
  </si>
  <si>
    <t xml:space="preserve">measured </t>
  </si>
  <si>
    <t>[PMID: 25930055] Chowdhury,R. et al. The Bangladesh Risk of Acute Vascular Events (BRAVE) Study: objectives and design. Eur J Epidemiol 30, 577-87 (2015).</t>
  </si>
  <si>
    <t>BRIGHT</t>
  </si>
  <si>
    <t>British Genetics of Hypertension</t>
  </si>
  <si>
    <t>Hypertensive Cases</t>
  </si>
  <si>
    <t>≥ 98% from GenCall, then ≥ 99% post zCall</t>
  </si>
  <si>
    <t>1) Missing age
2) Heterozygosity
3) Ancestry outliers
4) Gender mismatch
5) Duplicates &amp; relateds</t>
  </si>
  <si>
    <t>[PMID: 12826435] Caulfield, M.C. et al. Genome-wide mapping of human loci for essential hypertension. Lancet. 361(9375):2118-23 (2003).</t>
  </si>
  <si>
    <t>CARDIA</t>
  </si>
  <si>
    <t>The Coronary Artery Risk Development in Young Adults</t>
  </si>
  <si>
    <t>European American (EA)
African-American (AA)</t>
  </si>
  <si>
    <t xml:space="preserve">5115 total participants at CARDIA baseline examination; 4191 genotyped </t>
  </si>
  <si>
    <t>1) Missing body weight and height
2) sex-mismatch
3) high heterozygosity
4) Outlier in PCA</t>
  </si>
  <si>
    <t>1,971 for black 
2,180 for white
(the above number is the overall samples in the analysis. samples in each analysis, please refer to table 3)</t>
  </si>
  <si>
    <t>[PMID: 23874508] Grove, Megan L., et al. "Best practices and joint calling of the HumanExome BeadChip: the CHARGE Consortium." PloS one 8.7 (2013): e68095.
[PMID: 3204420] Friedman, Gary D., et al. "CARDIA: study design, recruitment, and some characteristics of the examined subjects." Journal of clinical epidemiology 41.11 (1988): 1105-1116.</t>
  </si>
  <si>
    <t>CARL</t>
  </si>
  <si>
    <t>INGI-Carlantino</t>
  </si>
  <si>
    <t>1) Missing phenotypes
2) Heterozygosity
3) ethnic outliers</t>
  </si>
  <si>
    <t>[PMID: 23249956] Mezzavilla,M. et al. Genetic characterization of northeastern Italian population isolates in the context of broader European genetic diversity. Eur J Hum Genet. 2013 Jun; 21(6): 659–665.</t>
  </si>
  <si>
    <t>CHS</t>
  </si>
  <si>
    <t>Cardiovascular Health Study</t>
  </si>
  <si>
    <t xml:space="preserve">Following the central QC and joint variant calling, additional QC steps were applied to the CHS data using PLINK. SNPs with a missingness rate of &gt;95% were removed and individuals meeting the following criteria were excluded from analysis. We further excluded individuals with low P10GC call, a missing genotype rate of &gt; 97%, gender mis-matches identified by X chromosome homozygosity rates. The sample was limited to those of self-described European-ancestry (EA) and African-American (AA) participants. Principal components analysis was performed using a subset of common LD-pruned variants from the Exome Chip both for the full sample as well as in EA and AA strata. Individuals whose full-sample first principal component suggested a different ancestry from their self-reported ancestry were excluded as were individuals who were outliers for the first 10 ancestry-specific principal components. Pair-wise IBD measures were calculated and outliers with high levels of IBD were removed.  </t>
  </si>
  <si>
    <r>
      <t>[PMID: 23874508] Grove ML, Yu B, Cochran BJ, Haritunians T, Bis JC, Taylor KD, Hansen M, Borecki IB, Cupples LA, Fornage M</t>
    </r>
    <r>
      <rPr>
        <i/>
        <sz val="11"/>
        <color indexed="63"/>
        <rFont val="Calibri"/>
        <family val="2"/>
        <scheme val="minor"/>
      </rPr>
      <t> et al</t>
    </r>
    <r>
      <rPr>
        <sz val="11"/>
        <color indexed="63"/>
        <rFont val="Calibri"/>
        <family val="2"/>
        <scheme val="minor"/>
      </rPr>
      <t>: Best Practices and Joint Calling of the HumanExome BeadChip: The CHARGE Consortium. </t>
    </r>
    <r>
      <rPr>
        <i/>
        <sz val="11"/>
        <color indexed="63"/>
        <rFont val="Calibri"/>
        <family val="2"/>
        <scheme val="minor"/>
      </rPr>
      <t>PLoS One </t>
    </r>
    <r>
      <rPr>
        <sz val="11"/>
        <color indexed="63"/>
        <rFont val="Calibri"/>
        <family val="2"/>
        <scheme val="minor"/>
      </rPr>
      <t xml:space="preserve">2013, 8(7):e68095.
[PMID: 1669507] Fried, L. P., Borhani, N. O., Enright, P. et al.  The Cardiovascular Health Study: design and rationale. Ann.Epidemiol., Feb., 1991. Vol. 1, issue 3, pp.263-276. PM:1669507.
</t>
    </r>
  </si>
  <si>
    <t>CLHNS</t>
  </si>
  <si>
    <t>Cebu Longitudinal Health and Nutrition Survey</t>
  </si>
  <si>
    <t>Asian (Filipino)</t>
  </si>
  <si>
    <t>gender; heterozygosity</t>
  </si>
  <si>
    <t>[PMID: 20507864] Adair, L.S. et al. Cohort Profile: the Cebu Longitudinal health and nutrition survye. Int J Epidemiol 40, 619-625 (2011)</t>
  </si>
  <si>
    <t>CROATIA-Korcula</t>
  </si>
  <si>
    <t>&gt;99%</t>
  </si>
  <si>
    <t>1) Missing phenotype</t>
  </si>
  <si>
    <t>~ 800</t>
  </si>
  <si>
    <t>[PMID:19260141] Zemunik, T., et al., Genome-wide association study of biochemical traits in Korcula Island, Croatia. Croat Med J, 2009. 50(1): p. 23-33.</t>
  </si>
  <si>
    <t xml:space="preserve">deCODE </t>
  </si>
  <si>
    <t>deCODE anthropometric study</t>
  </si>
  <si>
    <t>White European</t>
  </si>
  <si>
    <t>Non-Icelandic individual  and individuals without antropometric measurements excluded.</t>
  </si>
  <si>
    <t>Measured or self-reported</t>
  </si>
  <si>
    <t>[PMID: 19079260] 
Thorleifsson G, et.al. Genome-wide association yields new sequence variants at seven loci that associate with measures of obesity. Nat Genet. 2009 Jan;41(1):18-24. doi: 10.1038/ng.274. Epub 2008 Dec 14. 
[PMID: 18391951] 
Gudbjartsson DF, et.al. Many sequence variants affecting diversity of adult human height. Nat Genet. 2008 May;40(5):609-15. doi: 10.1038/ng.122. Epub 2008 Apr 6.</t>
  </si>
  <si>
    <t>DHS</t>
  </si>
  <si>
    <t>Diabetes Heart Study</t>
  </si>
  <si>
    <t>Family-based</t>
  </si>
  <si>
    <t xml:space="preserve">1) Missing body weight and height
2) Gender discordant
3) Mendelian inconsistency
4) non-diabetics  </t>
  </si>
  <si>
    <t>[PMID: 18460048] Bowden,D.W. et al. Genetic epidemiology of subclinical cardiovascular disease in the diabetes heart study. Ann Hum Genet  72, 598-610 (2008).
[PMID: 21409311] Bowden,D.W. et al. Review of the Diabetes Heart Study (DHS) family of studies: a comprehensively examined sample for genetic and epidemiological studies of type 2 diabetes and its complications. Rev Diabet Stud 7,188-201 (2010).</t>
  </si>
  <si>
    <t>Diacore</t>
  </si>
  <si>
    <t>DIAbetes COhoRtE</t>
  </si>
  <si>
    <t xml:space="preserve"> prospective cohort study of patients with diabetes mellitus type 2</t>
  </si>
  <si>
    <t>&gt; 98%</t>
  </si>
  <si>
    <t>1) Missing phenotype
2) Ancestry not European
3) Relatedness 2nd degree or closer
4) Genetic gender discordant with phenotypic gender
5) Gonosomal aberation
6) Excess of Heterocygosity
7) low callrate</t>
  </si>
  <si>
    <t>BMI: 1,515
Height:1,523
WHR:1,505</t>
  </si>
  <si>
    <t>[PMID: 23409726]
Dorhofer, L., Lammert, A., Krane, V., Gorski, M., Banas, B., Wanner, C., Kramer, B.K., Heid, I.M., and Boger, C.A. (2013). Study design of DIACORE (DIAbetes COhoRtE) - a cohort study of patients with diabetes mellitus type 2. BMC Med Genet 14, 25.</t>
  </si>
  <si>
    <t>DPS</t>
  </si>
  <si>
    <t xml:space="preserve">The Finnish Diabetes Prevention Study </t>
  </si>
  <si>
    <t>Randomised controlled trial</t>
  </si>
  <si>
    <t>1) Heterozygosity &gt;median + 3*IQR 
2) Technical duplicates with lower call rate 
3) Non-European population outliers
4) Sex discrepancy
5) Contamination score &gt;10%
6) Exclusion of first-degree relateds across multiple Finnish studies (kinship &gt; 0.177, KING software)</t>
  </si>
  <si>
    <t>[PMID: 11333990] Tuomilehto, J. et al. Prevention of type 2 diabetes mellitus by changes in lifestyle among subjects with impaired glucose tolerance. N Engl J Med. 2001 May 3;344(18):1343-50.</t>
  </si>
  <si>
    <t>DR's EXTRA</t>
  </si>
  <si>
    <t>The Dose Responses to Exercise Training Study</t>
  </si>
  <si>
    <t>[PMID: 21186108] Kouki, R. et al. Diet, fitness and metabolic syndrome--the DR's EXTRA study. Nutr Metab Cardiovasc Dis. 2012 Jul;22(7):553-60.</t>
  </si>
  <si>
    <t>EFSOCH</t>
  </si>
  <si>
    <t>The Exeter Family Study of Childhood Health</t>
  </si>
  <si>
    <t>heterozygosity, duplicates, relatedness</t>
  </si>
  <si>
    <t>[PMID:16466435] Knight B, Shields BM, Hattersley AT. The Exeter Family Study of Childhood Health (EFSOCH): study protocol and methodology. Paediatr Perinat Epidemiol. 2006 Mar;20(2):172-9.</t>
  </si>
  <si>
    <t>EGCUT</t>
  </si>
  <si>
    <t>Estonian Genome Center of University of Tartu</t>
  </si>
  <si>
    <t>nested case-control</t>
  </si>
  <si>
    <t>1) Missing fenotype
2) Heterozygosity
3) No duplicates
4) Gender mismatch
5) Population Outliers (Principal components obtained from MDS analysis)</t>
  </si>
  <si>
    <t>[PMID: 24518929] Leitsalu et al, Cohort Profile: Estonian Biobank of the Estonian Genome Center, University of Tartu. Int J Epidemiol. 2014 Feb 11</t>
  </si>
  <si>
    <t>EPIC-CVD</t>
  </si>
  <si>
    <t>European Prospective Investigation into Cancer and Nutrition - Cardiovascular Disease Study</t>
  </si>
  <si>
    <t>Case-cohort</t>
  </si>
  <si>
    <t>~23749</t>
  </si>
  <si>
    <t>(1) Intensity Outliers
(2) Gender mismatch
(3) Non-concordance with previous genotyping
(4) Duplicates or twins
(5) Excess sample Heterozygosity
(6) Ancestry outliers from PCA
(7) Missing phenotype within each analysis
(8) Potsdam or Umea epic cohorts</t>
  </si>
  <si>
    <t>measured in &gt;90% of participants, self-reported in the remainder</t>
  </si>
  <si>
    <t>[PMID: 17295097] Danesh,J. et al. EPIC-Heart: the cardiovascular component of a prospective study of nutritional, lifestyle and biological factors in 520,000 middle-aged participants from 10 European countries. Eur J Epidemiol 22, 129-41 (2007).</t>
  </si>
  <si>
    <t>EPIC-Potsdam</t>
  </si>
  <si>
    <t>European Prospective Investigation into Cancer and Nutrition - Potsdam Study</t>
  </si>
  <si>
    <t>Heterozygosity , sex mismatch, population outliers</t>
  </si>
  <si>
    <t>[PMID: 10592368] Boeing H, Wahrendorf J, Becker N (1999) EPIC-Germany--A source for studies into diet and risk of chronic diseases. European Investigation into Cancer and Nutrition. Ann Nutr Metab 43: 195-204</t>
  </si>
  <si>
    <t>EpiHealth</t>
  </si>
  <si>
    <t>Epidemiology for Health</t>
  </si>
  <si>
    <t>1) Gender mismatch.
2) Ethnic outliers.
3) Heterozygosity &gt; 5 s.d.
4) Cryptic relatedness.
5) Missing all anthropometric measures.</t>
  </si>
  <si>
    <t>Measured</t>
  </si>
  <si>
    <t>[PMID: 23435790]
Lind, L. et al. EpiHealth: a large population-based cohort study for investigation of gene-lifestyle interactions in the pathogenesis of common diseases. Eur J Epidemiol. 28(2):189-97 (2013).</t>
  </si>
  <si>
    <t>EXTEND</t>
  </si>
  <si>
    <t>Exeter 10,000</t>
  </si>
  <si>
    <t>http://www.exeter.crf.nihr.ac.uk/node/155</t>
  </si>
  <si>
    <t>FamHS</t>
  </si>
  <si>
    <t>Family Heart Study</t>
  </si>
  <si>
    <t>African American (AA)
European American (EA)</t>
  </si>
  <si>
    <t>608 (AA)
4135 (EA)</t>
  </si>
  <si>
    <t>≥ 96% (AA)
≥99%  (EA)</t>
  </si>
  <si>
    <t>1) Missing body weight, height, waist and hip
2) Heterozygosity
3) Mendell errors</t>
  </si>
  <si>
    <t>608 (AA)
3749 (EA)</t>
  </si>
  <si>
    <t>[PMID:8651220] Higgins M et al. NHLBI Family Heart Study: objectives and design. Am J Epidemiol 143, 1219-28
[PMID: 18200599]  Zhang Q et al. Genome-wide admixture mapping for coronary artery calcification in African Americans: the NHLBI Family Heart Study. Genet Epidemiol 2008, 32: 264-72</t>
  </si>
  <si>
    <t>Fenland</t>
  </si>
  <si>
    <t>Fenland Study</t>
  </si>
  <si>
    <t>1) heterozygosity outliers (&gt;3.5 SDs) 
2) ethnic outliers 
3) sex discrepancy 
4) unusually high number of singleton genotypes 
5) related (IBD &gt; 0.1875) 
6) missing phenotypes required for the analyses</t>
  </si>
  <si>
    <t>[PMID 20519560] Ede, L. et al. Association between birth weight and visceral fat in adults. Am J Clin Nutr 92(2), 347-352 (2010)</t>
  </si>
  <si>
    <t>FIN-D2D 2007</t>
  </si>
  <si>
    <t>National type 2 diabetes prevention programme in Finland: FIN-D2D</t>
  </si>
  <si>
    <t>Population-based survey</t>
  </si>
  <si>
    <t>[PMID: 20459722] Kotronen, A. et al. Non-alcoholic and alcoholic fatty liver disease - two diseases of affluence associated with the metabolic syndrome and type 2 diabetes: the FIN-D2D survey. BMC Public Health. 2010 May 10;10:237.</t>
  </si>
  <si>
    <t>FINRISK 2007</t>
  </si>
  <si>
    <t>National FINRISK 2007 Study</t>
  </si>
  <si>
    <t>T2D case control study</t>
  </si>
  <si>
    <t>[PMID: 19959603]
Vartiainen, E. et al. Thirty-five-year trends in cardiovascular risk factors in Finland. Int J Epidemiol. 2010 Apr;39(2):504-18.</t>
  </si>
  <si>
    <t>FINRISKEXTREMES</t>
  </si>
  <si>
    <t>Samples are Height and BMI extremes from four Finrisk T2D Case Control cohorts: Finrisk 1992, Finrisk 1997, Finrisk 2002, Finrisk 2007.</t>
  </si>
  <si>
    <t>T2D case control studies</t>
  </si>
  <si>
    <t>1) Heterozygosity &gt;median + 3*IQR 
2) Duplicate samples 
3) MDS  outliers
6) Exclusion of first-degree relateds across multiple Finnish studies (kinship &gt; 0.177, KING software)</t>
  </si>
  <si>
    <t>[PMID: 25422363] Borodulin K, Vartiainen E, Peltonen M, et al. Forty-year trends in cardiovascular risk factors in Finland. Eur J Public Health 2015;25:539-46. doi:10.1093/eurpub/cku174</t>
  </si>
  <si>
    <t>FRAM</t>
  </si>
  <si>
    <t>Framingham Heart Study</t>
  </si>
  <si>
    <t>≥ 90%</t>
  </si>
  <si>
    <t>1) GWAS discordance
2) heterozygosity
3)missingness
4) sex heterozyogosity
5) missing trait and/or covariates</t>
  </si>
  <si>
    <t xml:space="preserve">[PMID 14025561] Dawber TR, Kannel WB, Lyell LP. An approach to longitudinal studies in a community: the Framingham Study. Ann N Y Acad Sci. 1963;107:539-556.  
[PMID 1208363] Feinleib M, Kannel WB, Garrison RJ, McNamara PM, Castelli WP. The Framingham Offspring Study. Design and preliminary data. Prev Med. 1975;4:518-525. 
[PMID 17372189] Splansky GL, Corey D, Yang Q et al. The Third Generation Cohort of the National Heart, Lung, and Blood Institute's Framingham Heart Study: design, recruitment, and initial examination. Am J Epidemiol. 2007;165:1328-1335. </t>
  </si>
  <si>
    <t>FUSION</t>
  </si>
  <si>
    <t>Finland-United States Investigation of NIDDM Genetics Study</t>
  </si>
  <si>
    <t>[PMID: 9614613]
'Valle, T. et al. Mapping genes for NIDDM. Design of the Finland-United States Investigation of NIDDM Genetics (FUSION) Study. Diabetes Care. 1998 Jun;21(6):949-58.
[PMID: 17463248]
Scott, L.J., et al. A genome-wide association study of type 2 diabetes in Finns detects multiple susceptibility variants. Science. 2007 Jun 1;316(5829):1341-5.</t>
  </si>
  <si>
    <t>FVG</t>
  </si>
  <si>
    <t>INGI-FVG</t>
  </si>
  <si>
    <t>GENOA</t>
  </si>
  <si>
    <t>Genetic Epidemiology Network of Arteriopathy</t>
  </si>
  <si>
    <t>Cohort of sibships enriched for hypertension</t>
  </si>
  <si>
    <t>European American (EA)
African American (AA)</t>
  </si>
  <si>
    <t>1544 (EA)
1392 (AA)</t>
  </si>
  <si>
    <t>Gender inconsistency
&gt;6sd from mean of inbreeding coefficient
&gt;6sd from mean heterozygosity
&gt; 6sd from mean of singleton count
&gt;6sd from PCA</t>
  </si>
  <si>
    <t>1512 (EA)
1126 (AA)</t>
  </si>
  <si>
    <t xml:space="preserve">[PMID: 11799070] FBPP Investigators. Multi-center genetic study of hypertension: The Family Blood Pressure Program (FBPP). Hypertension. 2002 Jan;39(1):3-9. 
[PMID: 15121494 ] Daniels PR, Kardia SL, Hanis CL, Brown CA, Hutchinson R, Boerwinkle E, Turner ST; Genetic Epidemiology Network of Arteriopathy study. Familial aggregation of hypertension treatment and control in the Genetic Epidemiology Network of Arteriopathy (GENOA) study. Am J Med. 2004 May 15;116(10):676-81. PubMed PMID:
</t>
  </si>
  <si>
    <t>GRAPHIC</t>
  </si>
  <si>
    <t>Genetic Regulation of Arterial Pressure in Humans in the Community</t>
  </si>
  <si>
    <t xml:space="preserve">≥ 98% </t>
  </si>
  <si>
    <t>1) Missing Height, BMI or WHR
2) Heterozygosity
3) Ethnic outliers (using HapMap)
4) Duplicate checks
5) Identity checks
6) Gender checks
7) CR &lt;95% in GenCall</t>
  </si>
  <si>
    <t xml:space="preserve">[PMCID: PMC3035934] Tomaszewski M et al. Genetic architecture of ambulatory blood pressure in the general population: insights from cardiovascular gene-centric array. Hypertension. 2010;56:1069-76.
</t>
  </si>
  <si>
    <t>GS:SFHS</t>
  </si>
  <si>
    <t>Generation Scotland: Scottish Family Health Study</t>
  </si>
  <si>
    <t>Height: 9914
BMI: 9881
WHR:9743</t>
  </si>
  <si>
    <t xml:space="preserve">[PMID:22786799] Smith, B.H. et al. Generation Scotland: Scottish family health study. A profile of the study, its participants, and their potential for genetic research on health and illness. Int J Epidemiol (2013). </t>
  </si>
  <si>
    <t>Health</t>
  </si>
  <si>
    <t>Health 2006 and 2008</t>
  </si>
  <si>
    <t>1) Missing body weight and height.
2) Heterozygosity were calculated separately for maf &lt; 1% and maf &gt; 1% and samples were dropped judged by plots
3) Cryptic relatedness (related to 20 or more individuals)
3) Technical duplicates 
4) Non-European population outliers from PCA plot (based on AIM SNPs)
5) Sex discrepancy</t>
  </si>
  <si>
    <t>[PMID: 23615486] Thuesen BH, et al. Cohort Profile: The Health2006 cohort, Research Centre for Prevention and Health. Int J Epidemiol. 2014, 568-75</t>
  </si>
  <si>
    <t>HELIC MANOLIS</t>
  </si>
  <si>
    <t>HELIC (Hellenic Isolated Cohorts) MANOLIS</t>
  </si>
  <si>
    <t>Isolated population</t>
  </si>
  <si>
    <t>GenCall 98% and zCall 99%</t>
  </si>
  <si>
    <t>Sex check, heterozygosity at MAF&lt;1% and MAF≥1%, duplicates, ethnic outliers, GWAS concordance, phenotype missing</t>
  </si>
  <si>
    <t>975 (height)
954 (BMI)
933 (WHR)</t>
  </si>
  <si>
    <t>HELIC Pomak</t>
  </si>
  <si>
    <t>HELIC (Hellenic Isolated Cohorts) Pomak</t>
  </si>
  <si>
    <t>904 (height)
903 (BMI)
841 (WHR)</t>
  </si>
  <si>
    <t>HUNT</t>
  </si>
  <si>
    <t>Nord-Trøndelag Health Study</t>
  </si>
  <si>
    <t xml:space="preserve">MI cases and control,
sepsis cases and control </t>
  </si>
  <si>
    <t>Total N=17834: 
MI cases (N=2865), 
MI controls (N=12249), 
sepsis cases (N=1361), 
control (N=13753)</t>
  </si>
  <si>
    <t>1) Missing body weight and height.
2) Heterozygosity
3) Deviation from HWE P &lt; 1e-06
4) Duplicate samples wih lower call rate
5) Population PCA clustering outliers
6) Gender mismatches</t>
  </si>
  <si>
    <r>
      <t xml:space="preserve">[PMID: 22879362] Krokstad, S. et al. Cohort profile: the HUNT Study, Norway. Int. J. Epidemiol. 42,  968–977 (2013).
</t>
    </r>
    <r>
      <rPr>
        <b/>
        <sz val="10"/>
        <rFont val="Calibri"/>
        <family val="2"/>
      </rPr>
      <t/>
    </r>
  </si>
  <si>
    <t>Inter99</t>
  </si>
  <si>
    <t>[PMID: 14663300] Jørgensen T, et al. (2003) A randomized non-pharmacological intervention study for prevention of ischaemic heart disease: Baseline results Inter99 (1). Eur J Cardiovasc Prev Rehab 10:377-386</t>
  </si>
  <si>
    <t xml:space="preserve">InterAct </t>
  </si>
  <si>
    <t>European Prospective Investigation into Cancer and Nutrition - InterAct</t>
  </si>
  <si>
    <t xml:space="preserve">Case-cohort </t>
  </si>
  <si>
    <t>2,712 (non-subcohort cases)</t>
  </si>
  <si>
    <t>1) sex mismatch 
2) het outlier 
3) rare allele count outlier 
4) IBD relatedness (0.1875) 
5) missing phenotypes requried for the analyses</t>
  </si>
  <si>
    <t>[PMID: 21717116] Design and cohort description of the InterAct Project: an examination of the interaction of genetic and lifestyle factors on the incidence of type 2 diabetes in the EPIC Study. Diabetologia. 2011 Sep;54(9):2272-82</t>
  </si>
  <si>
    <t>IRASFS</t>
  </si>
  <si>
    <t>Insulin Resistance Atherosclerosis Family Study</t>
  </si>
  <si>
    <t>Hispanic American (HA) 
African American (AA)</t>
  </si>
  <si>
    <t>2010 (HA)
596 (AA)</t>
  </si>
  <si>
    <t>1) Gender inconsistencies
2) Mendelian inconsistencies
3) Missing analysis variables</t>
  </si>
  <si>
    <t>1260 (HA)
596 (AA)</t>
  </si>
  <si>
    <t>[PMID: 12684185] Henkin L. et al. Genetic epidemiology of insulin resistance and visceral adiposity. The IRAS Family Study design and methods. Ann Epidemiol. 2003 Apr;13(4):211-7.
[PMID: 15534617] Norris et al. Quantitative trait loci for abdominal fat and BMI in Hispanic-Americans and African-Americans: the IRAS Family study. Norris JM, Langefeld CD, Scherzinger AL, Rich SS, Bookman E, Beck SR, Saad MF, Haffner SM, Bergman RN, Bowden DW, Wagenknecht LE.</t>
  </si>
  <si>
    <t>JHS</t>
  </si>
  <si>
    <t>Jackson Heart Study</t>
  </si>
  <si>
    <t>African American</t>
  </si>
  <si>
    <t>1) Missing outcome or covariate
2) Heterozygosity
3) PC outlier
4) Half of overlap with ARIC African Americans (coordinated with ARIC)</t>
  </si>
  <si>
    <r>
      <t xml:space="preserve">[PMID: 16320381]  Taylor, H.A., Jr. et al. Toward resolution of cardiovascular health disparities in African Americans: design and methods of the Jackson Heart Study. </t>
    </r>
    <r>
      <rPr>
        <i/>
        <sz val="11"/>
        <rFont val="Calibri"/>
        <family val="2"/>
        <scheme val="minor"/>
      </rPr>
      <t>Ethn Dis</t>
    </r>
    <r>
      <rPr>
        <sz val="11"/>
        <rFont val="Calibri"/>
        <family val="2"/>
        <scheme val="minor"/>
      </rPr>
      <t xml:space="preserve"> 15, S6-4-17 (2005).</t>
    </r>
  </si>
  <si>
    <t>KORA-F4</t>
  </si>
  <si>
    <t>Cooperative Health Research in the Region of Augsburg</t>
  </si>
  <si>
    <t>1) excess heterozygosity [i.e. |het_rate| &gt; |mean+/-5sd|] 
2) no German passport</t>
  </si>
  <si>
    <t>[PMID: 16032514] Wichmann HE et al. KORA-gen--resource for population genetics, controls and a broad spectrum of disease phenotypes. Gesundheitswesen 67 Suppl 1, S26-30 (2005).</t>
  </si>
  <si>
    <t>Leipzig-adults</t>
  </si>
  <si>
    <t>LeipzigAdults</t>
  </si>
  <si>
    <t>Populations-based</t>
  </si>
  <si>
    <t>1) Missing phenotype
2) Heterozygosity
3) Non-European population outliers 
4) Technical duplicates with lower call rate
5) Sex discrepancy</t>
  </si>
  <si>
    <t xml:space="preserve">[PMID: 20935630] Speliotes, Elizabeth K., et al. Association analyses of 249,796 individuals reveal 18 new loci associated with body mass index. Nature genetics 42.11, 937-948 (2010)
</t>
  </si>
  <si>
    <t>LOLIPOP-Exome</t>
  </si>
  <si>
    <t>London Life Sciences Prospective Population Study</t>
  </si>
  <si>
    <t>South Asian (Indian Asians)</t>
  </si>
  <si>
    <t>Duplicates, gender discrepancy, ethnic outliers, contaminated samples, relatedness, extreme heterozygosity</t>
  </si>
  <si>
    <t>[PMID:18193046]  Kooner JS, Chambers JC, Aguilar-Salinas CA, et al. Genome-wide scan identifies variation in MLXIPL associated with plasma triglycerides. Nat Genet, 40:149-151 (2008).   
[PMID:18454146]  Chambers JC, Elliott P, Zabaneh D, Zhang W, Li Yun, Froguel Philippe, Balding D, Scott J, Kooner JS. Common genetic variation near MC4R is associated with waist circumference and insulin resistance. Nat Genet 40, 716-718 (2008).  
[PMID:23222517] van der Harst P, et al. Seventy-five genetic loci influencing the human red blood cell. Nature 492:369-375 (2012).</t>
  </si>
  <si>
    <t>LOLIPOP-OmniEE</t>
  </si>
  <si>
    <t>[PMID:18193046] Kooner JS, Chambers JC, Aguilar-Salinas CA, et al. Genome-wide scan identifies variation in MLXIPL associated with plasma triglycerides. Nat Genet, 40:149-151 (2008). 
[PMID:18454146] Chambers JC, Elliott P, Zabaneh D, Zhang W, Li Yun, Froguel Philippe, Balding D, Scott J, Kooner JS. Common genetic variation near MC4R is associated with waist circumference and insulin resistance. Nat Genet 40, 716-718 (2008).  
[PMID:23222517] van der Harst P, et al. Seventy-five genetic loci influencing the human red blood cell. Nature 492:369-375 (2012).</t>
  </si>
  <si>
    <t>MESA</t>
  </si>
  <si>
    <t>Multi-Ethnic Study of Atherosclerosis (MESA) Cohort</t>
  </si>
  <si>
    <t>African American (AA), European American (EA), East Asian (Chinese EAS), Hispanic American (HA)</t>
  </si>
  <si>
    <t>Ethnic outliers; duplicates; gender mismatch; Phenoty outliers</t>
  </si>
  <si>
    <t>EA 2497
EAS 769
AA 1655
HA 1435</t>
  </si>
  <si>
    <t>Bild DE, Bluemke DA, Burke GL, Detrano R, Diez Roux AV, Folsom AR, Greenland P, Jacob DR Jr, Kronmal R, Liu K, Nelson JC, O'Leary D, Saad MF, Shea S, Szklo M, Tracy RP. Multi-ethnic study of atherosclerosis: objectives and design. Am J Epidemiol. 2002 Nov 1;156(9):871-81. PubMed PMID: 12397006.</t>
  </si>
  <si>
    <t>METSIM</t>
  </si>
  <si>
    <t>Metabolic Syndrome in Men Study</t>
  </si>
  <si>
    <t>Population-based cross-sectional study</t>
  </si>
  <si>
    <t>[PMID: 19223598] Stancáková, A. et al. Changes in insulin sensitivity and insulin release in relation to glycemia and glucose tolerance in 6,414 Finnish men. Diabetes. 2009 May;58(5):1212-21.</t>
  </si>
  <si>
    <t>MHIBB</t>
  </si>
  <si>
    <t>Montreal Heart Institute Biobank</t>
  </si>
  <si>
    <t>1) For BMI and WHR: Pregnant women, Under medication to treat obesity (Orlistat or Rimonabant), History of bariatric surgery, Down Syndrome, Cushing Syndrome, Polycystic Ovary Syndrome
2) Missing body weight, height and waist-hip ratio. 
3) Heterozygosity, gender discordance, relatedness
4) Not CEU based on 1000G CEU (PCA outliers)</t>
  </si>
  <si>
    <r>
      <t>[PMID: 24777453] Auer, P.L. et al. Rare and low-frequency coding variants in CXCR2 and other genes are associated with hematological traits. Nature Genetics (2014): doi:10.1038/ng.2962.</t>
    </r>
    <r>
      <rPr>
        <b/>
        <sz val="10"/>
        <rFont val="Calibri"/>
        <family val="2"/>
      </rPr>
      <t/>
    </r>
  </si>
  <si>
    <t>MORGAM</t>
  </si>
  <si>
    <t>MOnica Risk, Genetics, Archiving and Monograph</t>
  </si>
  <si>
    <t>~6869</t>
  </si>
  <si>
    <t>[PMID: 15561751]
Evans A, Salomaa V, Kulathinal S, Asplund K, Cambien F, Ferrario M, Perola M, Peltonen L, Shields D, Tunstall-Pedoe H, Kuulasmaa K, for the MORGAM Project. MORGAM (an international pooling of cardiovascular cohorts). Int J Epidemiol 2005;34:21-27.
Kulathinal S, Niemelä M, Niiranen T, Saarela O, Palosaari T, Tapanainen H, Kuulasmaa K, contributors from Participating Centres, for the MORGAM Project. Description of MORGAM Cohorts. MORGAM Project e-publications [Internet]. 2005-; (2). URN:NBN:fi-fe20051214. Available from URL:http://www.thl.fi/publications/morgam/cohorts/index.html
Niemelä M, Kulathinal S and Kuulasmaa K, editors, for the MORGAM Project. Description and quality assessment of MORGAM data. MORGAM Project e-publications [Internet]. 2007; (3). URN:NBN:fi-fe20071495. Available from URL:http://www.thl.fi/publications/morgam/qa/contents.htm</t>
  </si>
  <si>
    <t>NEO Study</t>
  </si>
  <si>
    <t>The Netherlands Epidemiology of Obesity Study</t>
  </si>
  <si>
    <t>1) remove duplicate/swap samples
2) remove samples with gender mismatch
3) remove outliers in PCA</t>
  </si>
  <si>
    <r>
      <t>[PMID: 23576214] de Mutsert R, et.al.(2013).The Netherlands Epidemiology of Obesity (NEO) study: study design and data collection.Eur J Epidemiol. 2013 Jun;28(6):513-23.</t>
    </r>
    <r>
      <rPr>
        <b/>
        <sz val="10"/>
        <rFont val="Calibri"/>
        <family val="2"/>
      </rPr>
      <t/>
    </r>
  </si>
  <si>
    <t>NHAPC</t>
  </si>
  <si>
    <t xml:space="preserve">Nutrition and Health of Ageing Population in China </t>
  </si>
  <si>
    <t>East Asian (Chinese Han)</t>
  </si>
  <si>
    <t>1) Heterozygosity
2) Duplications
3) Gender missmatches</t>
  </si>
  <si>
    <t>[PMID:18633108] Wu Y, Li H, Loos R J F, et al. Common variants in CDKAL1, CDKN2A/B, IGF2BP2, SLC30A8, and HHEX/IDE genes are associated with type 2 diabetes and impaired fasting glucose in a Chinese Han population. Diabetes, 2008, 57(10): 2834-2842.
[PMID:22961080‎] Li H, Gan W, Lu L, et al. A genome-wide association study identifies GRK5 and RASGRP1 as type 2 diabetes loci in Chinese Hans. Diabetes, 2013, 62(1): 291-298.</t>
  </si>
  <si>
    <t>Nijmegen</t>
  </si>
  <si>
    <t>Nijmegen Biomedical Study  &amp; Nijmegen Bladder Cancer Study</t>
  </si>
  <si>
    <t>Case-Control</t>
  </si>
  <si>
    <t>1) Missing body weight and height.
2) Heterozygosity
3) duplicate samples</t>
  </si>
  <si>
    <t>[PMID: 21750109] Rafnar T, Vermeulen SH, Sulem P, Tet al. European genome-wide association study identifies SLC14A1 as a new urinary bladder cancer susceptibility gene. Hum Mol Genet. 2011 Nov 1;20(21):4268-81. doi: 10.1093/hmg/ddr303.</t>
  </si>
  <si>
    <t>OMICS-EPICNorfolk</t>
  </si>
  <si>
    <t>European Prospective Investigation into Cancer and Nutrition - Obesity Study</t>
  </si>
  <si>
    <t>≥ 97%</t>
  </si>
  <si>
    <t>1) Duplicates,
2) Sex discordance,
3) Impossible IBDs</t>
  </si>
  <si>
    <r>
      <t>[PMID: 10466767] Day,N.E. et al. EPIC-Norfolk: study design and characteristics of the cohort. European Prospective Investigation of Cancer. British Journal of Cancer 80, 95-103 (1999).</t>
    </r>
    <r>
      <rPr>
        <b/>
        <sz val="10"/>
        <rFont val="Calibri"/>
        <family val="2"/>
      </rPr>
      <t/>
    </r>
  </si>
  <si>
    <t>OMICS-Fenland</t>
  </si>
  <si>
    <t>&gt; 97%</t>
  </si>
  <si>
    <t>Heterozygosity check; Ethnic outliers; sex discrepancy; unusually high number of singleton genotypes; impossible IBD values; phenotype missing; excluding overlap exomechip samples</t>
  </si>
  <si>
    <t xml:space="preserve">[PMID: 20519560] Rolfe Ede L, Loos RJ, Druet C, Stolk RP, Ekelund U, Griffin SJ, Forouhi NG, Wareham NJ, Ong KK. Association between birth weight and visceral fat in adults. Am J Clin Nutr. 2010 Aug;92(2):347-52. Epub 2010 Jun 2.
</t>
  </si>
  <si>
    <t>Oxford BioBank</t>
  </si>
  <si>
    <t>The Oxford Biobank</t>
  </si>
  <si>
    <t>http://www.oxfordbiobank.org.uk/</t>
  </si>
  <si>
    <t>PCOS</t>
  </si>
  <si>
    <t>Polycystic Ovary Syndrome</t>
  </si>
  <si>
    <t>1) Missing phenotype
2) Heterozygosity
3) Non-European population outliers 
4) technical duplicates with lower call rate
5) Sex discrepancy</t>
  </si>
  <si>
    <t>PIVUS</t>
  </si>
  <si>
    <t>Prospective Investigation of the Vasculature in Uppsala Seniors</t>
  </si>
  <si>
    <t>Lind L, Fors N, Hall J, Marttala K, Stenborg A. A Comparison of Three Different Methods to Evaluate Endothelium-Dependent Vasodilation in the Elderly. The Prospective Investigation of the Vasculature in Uppsala Seniors (PIVUS) Study. Arterioscler Thromb Vasc Biol. 2005; 25:2368-75</t>
  </si>
  <si>
    <t>PROMIS</t>
  </si>
  <si>
    <t>Pakistiani Risk of Miocardial Infarction Study</t>
  </si>
  <si>
    <t>Case-control</t>
  </si>
  <si>
    <t>South-Asian (Pakistan)</t>
  </si>
  <si>
    <t>~24324</t>
  </si>
  <si>
    <t>[PMID: 19404752] Saleheen,D. et al. The Pakistan Risk of Myocardial Infarction Study: a resource for the study of genetic, lifestyle and other determinants of myocardial infarction in South Asia. Eur J Epidemiol 24, 329-38 (2009).</t>
  </si>
  <si>
    <t>RAINE</t>
  </si>
  <si>
    <t>Western Australian Pregnancy Cohort (RAINE) Study</t>
  </si>
  <si>
    <t>1) Sample disconcordance with GWAS data
2) Heterozygosity
3) Missing body weight and height
4) Did not participant in DEXA scan</t>
  </si>
  <si>
    <t>self-reported</t>
  </si>
  <si>
    <t>[PMID: 8105165] Newnham JP, Evans S., Michael CA, Stanley FJ, Landau LI. Effect of frequent ultrasound during pregnancy: A randomised controlled trial. Lancet 1993; 342: 887–891</t>
  </si>
  <si>
    <t>RISC</t>
  </si>
  <si>
    <t xml:space="preserve">Relationship between Insulin Sensitivity and Cardiovascular disease </t>
  </si>
  <si>
    <t>[PMID: 14968294] Hills SA et al. The EGIR-RISC STUDY (The European group for the study of insulin resistance: relationship between insulin sensitivity and cardiovascular disease risk): I. Methodology and objectives. Diabetologia. 2004 Mar;47(3):566-70. Epub 2004 Feb 14.
http://www.egir.org/egirrisc/status.html</t>
  </si>
  <si>
    <t>RSI</t>
  </si>
  <si>
    <t>Rotterdam Study I</t>
  </si>
  <si>
    <t>Heterozygosity, gender-check</t>
  </si>
  <si>
    <t>[PMID: 24258680] Hofman,E et al. The Rotterdam Study: 2014 objectives and design update. European Journal of Epidemiology 28, 889-926 (2013)</t>
  </si>
  <si>
    <t>SDC</t>
  </si>
  <si>
    <t>Steno Diabetes Center T2D Cases</t>
  </si>
  <si>
    <t>Case study</t>
  </si>
  <si>
    <t>[PMID 23160641] Albrechtsen A, et al. Exome sequencing-driven discovery of coding polymorphisms associated with common metabolic phenotypes. Diabetologia 56, 297-310 (2013)</t>
  </si>
  <si>
    <t>SHIP</t>
  </si>
  <si>
    <t>Study of Health in Pomerania</t>
  </si>
  <si>
    <t>1) missing data
2) duplicate samples (by estimated IBD)
3) reported and genotyped sex mismatch
4) Heterozygosity</t>
  </si>
  <si>
    <t>[PMID: 20167617] Völzke H, et al. Cohort Profile: The Study of Health in Pomerania. Int J Epidemiol. 2011 Apr;40(2):294-307.</t>
  </si>
  <si>
    <t>SHIP-TREND</t>
  </si>
  <si>
    <t>Study of Health in Pomerania - TREND</t>
  </si>
  <si>
    <t>SOLID-TIMI 52</t>
  </si>
  <si>
    <t>The Stabilization Of pLaques usIng Darapladib-Thrombolysis In Myocardial Infarction 52 Trial (SOLID-TIMI 52)</t>
  </si>
  <si>
    <t>Interventional Clinical Trial</t>
  </si>
  <si>
    <t>African American (AA), European American (EA), East Asian (EAS), South Asian (SA), Hispanic American (HA)</t>
  </si>
  <si>
    <t>200 AA, 8102 EA, 255 EAS, 118 SA, 893 HA</t>
  </si>
  <si>
    <t>≥ 94.5%</t>
  </si>
  <si>
    <t>Sample call rate &lt; 94.5%
Heterozygosity; Cryptically related
Not consented for genetic research; Only consented for genetic research of response to drug</t>
  </si>
  <si>
    <t>[PMID: 25173516] O'Donoghue ML et al; SOLID-TIMI 52 Investigators. Effect of darapladib on major coronary events after an acute coronary syndrome: the SOLID-TIMI 52 randomized clinical trial. JAMA. 2014 Sep 10
[PMID: 21982651] O'Donoghue ML, et al. Study design and rationale for the Stabilization of pLaques usIng Darapladib-Thrombolysis in Myocardial Infarction (SOLID-TIMI 52) trial in patients after an acute coronary syndrome. Am Heart J. 2011 Oct</t>
  </si>
  <si>
    <t>Sorbs</t>
  </si>
  <si>
    <t>STABILITY</t>
  </si>
  <si>
    <t>The Stabilization of Atherosclerotic Plaque by Initiation of Darapladib Therapy Trial (STABILITY)</t>
  </si>
  <si>
    <t>123 AA, 8789 EA, 724 EAS, 380 SA, 518 HA</t>
  </si>
  <si>
    <t>≥ 93.5%</t>
  </si>
  <si>
    <t xml:space="preserve">[PMID: 24678955] STABILITY Investigators, White HD, et al. Darapladib for preventing ischemic events in stable coronary heart disease. N Engl J Med. 2014 May 1;370(18):1702-11. doi: 10.1056/NEJMoa1315878. Epub 2014 Mar 30.
[PMID: 22496275] Vedin O, Hagström E, Stewart R, Brown R, Krug-Gourley S, Davies R, Wallentin L, White H, Held C. Secondary prevention and risk factor target achievement in a global, high-risk population with established coronary heart disease: baseline results from the STABILITY study. Eur J Prev Cardiol. 2013 Aug;20(4):678-85. doi: 10.1177/2047487312444995. Epub 2012 Apr 10.
</t>
  </si>
  <si>
    <t>TUDR</t>
  </si>
  <si>
    <t>Taiwan USA Diabetes Retinopathy</t>
  </si>
  <si>
    <t>East Asian</t>
  </si>
  <si>
    <t>1) Gender Mismatches
2) Heterozygosity
3) Missing body weight and height.</t>
  </si>
  <si>
    <t>[PMID: 23562823] Sheu, Wayne H-H., et al. "Genome-wide association study in a Chinese population with diabetic retinopathy." Human molecular genetics 22.15 (2013): 3165-3173.</t>
  </si>
  <si>
    <t>TwinsUK</t>
  </si>
  <si>
    <t>Twins UK</t>
  </si>
  <si>
    <t xml:space="preserve">[PMID: 23088889] Moayyeri A, Hammond CJ, Hart DJ, Spector TD. The UK Adult Twin Registry (TwinsUK Resource). Twin Res Hum </t>
  </si>
  <si>
    <t>UK Biobank</t>
  </si>
  <si>
    <t>Caucasian (genetic)</t>
  </si>
  <si>
    <t>See UK Biobank Documentation: 
http://www.ukbiobank.ac.uk/wp-content/uploads/2014/04/UKBiobank_genotyping_QC_documentation-web.pdf
1st, 2nd and 3rd degree relatives
Non "white British" individuals</t>
  </si>
  <si>
    <t xml:space="preserve">[PMID: 25826379] Sudlow C, Gallacher J, Allen N, et al., UK biobank: an open access resource for identifying the causes of a wide range of complex diseases of middle and old age. PLoS Med, 2015 12: e1001779
</t>
  </si>
  <si>
    <t>ULSAM</t>
  </si>
  <si>
    <t>Uppsala Longitudinal Study of Adult Men</t>
  </si>
  <si>
    <t>Hedstrand H. A study of middle-aged men with particular reference to risk factors for cardiovascular disease. Ups J Med Sci Suppl 1975; 19: 1-61.</t>
  </si>
  <si>
    <t>Vejle</t>
  </si>
  <si>
    <t>Vejle Biobank T2D Case-control study</t>
  </si>
  <si>
    <t>2076 cases
435 controls</t>
  </si>
  <si>
    <t>2026 cases
435 controls</t>
  </si>
  <si>
    <t>WGHS</t>
  </si>
  <si>
    <t>Women's Genome Health Study</t>
  </si>
  <si>
    <t>missing outcome</t>
  </si>
  <si>
    <t xml:space="preserve">[PMID: 18070814] Ridker PM et al. Women's Genome Health Study Working Group. Rationale, design, and methodology of the Women's Genome Health Study: a genome-wide association study of more than 25,000 initially healthy american women. Clin Chem. 2008 Feb;54(2):249-55. Epub 2007 Dec 10. </t>
  </si>
  <si>
    <t>WHI</t>
  </si>
  <si>
    <t>Women's Health Initiative</t>
  </si>
  <si>
    <t>Population-based cohort</t>
  </si>
  <si>
    <t>21,858 (EA),
3519 (AA)</t>
  </si>
  <si>
    <t>1) Missing body weight, waist circumference, hip circumference, and height</t>
  </si>
  <si>
    <t>[PMID: 22021425] Carty CL, Johnson NA, Hutter CM, Reiner AP, Peters U, Tang H, Kooperberg C. (2012) Genome-wide association study of body height in African Americans: the Women's Health Initiative SNP Health Association Resource (SHARe). Hum Mol Genet. 2012 Feb 1;21(3):711-20. doi: 10.1093/hmg/ddr489
[PMID: 26757982] Kan M, Auer PL, Wang GT, et al. (2016) Rare variant associations with waist-to-hip ratio in European-American and African-American women from the NHLBI-Exome Sequencing Project. Eur J Hum Genet. 2016 Jan 13. doi: 10.1038/ejhg.2015.272.</t>
  </si>
  <si>
    <t>WTCCC/UKT2D</t>
  </si>
  <si>
    <t xml:space="preserve"> Wellcome Trust Case Control Consortium/United Kingdom Type 2 Diabetes Genetics consortium</t>
  </si>
  <si>
    <t>[PMID: 20581827] Voight BF et al. Twelve type 2 diabetes susceptibility loci identified through large-scale association analysis. Nat Genet. 2010 Jul;42(7):579-89.</t>
  </si>
  <si>
    <t>YFS</t>
  </si>
  <si>
    <t>The Young Finns Study</t>
  </si>
  <si>
    <t>1) Missing body height, weight or waist-hip ratio. Pregnancy
2) Heterozygosity
3) Gender mismatch</t>
  </si>
  <si>
    <t>[PMID: 18263651] Raitakari, O.T. et al. Cohort profile: The cardiovascular risk in Young Finns Study. Int J Epidemiol 37(6): 1220-1226.</t>
  </si>
  <si>
    <t>Cohort</t>
  </si>
  <si>
    <t>Genotyping Array</t>
  </si>
  <si>
    <t>Genotype calling algorithm</t>
  </si>
  <si>
    <t>Principal components</t>
  </si>
  <si>
    <t>Association analyses</t>
  </si>
  <si>
    <t>Software</t>
  </si>
  <si>
    <t>SNPs used from GWAS/Exome Chip/AIMS/Other</t>
  </si>
  <si>
    <t>Inclusion criteria</t>
  </si>
  <si>
    <t>SNPs that met QC criteria</t>
  </si>
  <si>
    <t>Polymorphic SNPs in meta-analysis</t>
  </si>
  <si>
    <t>Analyses software</t>
  </si>
  <si>
    <t>MAF</t>
  </si>
  <si>
    <t>Pvalue for HWE</t>
  </si>
  <si>
    <t>HumanExome 12v1-1/
HumanCoreExome-12v1-1_A</t>
  </si>
  <si>
    <t>GeneCall + Zcall</t>
  </si>
  <si>
    <t>PLINK-PCA</t>
  </si>
  <si>
    <t>Exome Chip/GWAS</t>
  </si>
  <si>
    <t>&gt; 0%</t>
  </si>
  <si>
    <r>
      <t>&gt; 10</t>
    </r>
    <r>
      <rPr>
        <vertAlign val="superscript"/>
        <sz val="11"/>
        <rFont val="Calibri"/>
        <family val="2"/>
        <scheme val="minor"/>
      </rPr>
      <t>-5</t>
    </r>
  </si>
  <si>
    <t>RareMetalWorker</t>
  </si>
  <si>
    <t>Illumina Exome Chip V1.0</t>
  </si>
  <si>
    <t>Genome Studio</t>
  </si>
  <si>
    <t>NONE</t>
  </si>
  <si>
    <t>≥ 0%</t>
  </si>
  <si>
    <r>
      <t>&gt; 10</t>
    </r>
    <r>
      <rPr>
        <vertAlign val="superscript"/>
        <sz val="11"/>
        <color indexed="8"/>
        <rFont val="Calibri"/>
        <family val="2"/>
      </rPr>
      <t>-6</t>
    </r>
  </si>
  <si>
    <t>Illumina ExomeChip V1.0</t>
  </si>
  <si>
    <t>GenTrain 2.0 clustering algorithm</t>
  </si>
  <si>
    <t>Eigensoft v3.0</t>
  </si>
  <si>
    <t>Exome Chip (MAF&gt;5%)</t>
  </si>
  <si>
    <r>
      <t>&gt; 10</t>
    </r>
    <r>
      <rPr>
        <vertAlign val="superscript"/>
        <sz val="11"/>
        <rFont val="Calibri"/>
        <family val="2"/>
        <scheme val="minor"/>
      </rPr>
      <t>-6</t>
    </r>
  </si>
  <si>
    <t>RvTest</t>
  </si>
  <si>
    <t>Illumina ExomeChip V1.1</t>
  </si>
  <si>
    <t>GeneCall + Zcall 
(Exome-chip QC SOP v5.pdf)</t>
  </si>
  <si>
    <t xml:space="preserve">PLINK </t>
  </si>
  <si>
    <t>AIMS</t>
  </si>
  <si>
    <t>GenCall + Zcall (Oxford Protocol)</t>
  </si>
  <si>
    <t>PLINK</t>
  </si>
  <si>
    <t>Exome Chip</t>
  </si>
  <si>
    <t>no filter</t>
  </si>
  <si>
    <t>Customized Illumina ExomeChip V1.1</t>
  </si>
  <si>
    <t>Opticall + Zcall</t>
  </si>
  <si>
    <t>R</t>
  </si>
  <si>
    <t>Other</t>
  </si>
  <si>
    <r>
      <t>10</t>
    </r>
    <r>
      <rPr>
        <vertAlign val="superscript"/>
        <sz val="11"/>
        <rFont val="Calibri"/>
        <family val="2"/>
        <scheme val="minor"/>
      </rPr>
      <t>-6</t>
    </r>
    <r>
      <rPr>
        <sz val="11"/>
        <rFont val="Calibri"/>
        <family val="2"/>
        <scheme val="minor"/>
      </rPr>
      <t xml:space="preserve"> for MAF ≥5% / 10</t>
    </r>
    <r>
      <rPr>
        <vertAlign val="superscript"/>
        <sz val="11"/>
        <rFont val="Calibri"/>
        <family val="2"/>
        <scheme val="minor"/>
      </rPr>
      <t>-15</t>
    </r>
    <r>
      <rPr>
        <sz val="11"/>
        <rFont val="Calibri"/>
        <family val="2"/>
        <scheme val="minor"/>
      </rPr>
      <t xml:space="preserve"> for MAF &lt; 5%</t>
    </r>
  </si>
  <si>
    <t>Illumina Human Exome BeadChip v1.0</t>
  </si>
  <si>
    <t>GeneCall + Zcall (Oxford Protocol)</t>
  </si>
  <si>
    <t>Exome Chip (1% MAF, LD pruned)</t>
  </si>
  <si>
    <r>
      <t>&gt; 10</t>
    </r>
    <r>
      <rPr>
        <vertAlign val="superscript"/>
        <sz val="11"/>
        <rFont val="Calibri"/>
        <family val="2"/>
        <scheme val="minor"/>
      </rPr>
      <t>-4</t>
    </r>
  </si>
  <si>
    <t>Illumina HumanExome BeadChip V1.0</t>
  </si>
  <si>
    <t>Eigensoft</t>
  </si>
  <si>
    <t>Exome Chip SNPs (MAF &gt;1%)</t>
  </si>
  <si>
    <t>237584 (AA)
237630  (EA)</t>
  </si>
  <si>
    <t>139250 (AA)
122765 (EA)</t>
  </si>
  <si>
    <t>HumanExome-12v1-1_A.bpm</t>
  </si>
  <si>
    <t>GenomeStudio + Zcall (Oxford Protocol)</t>
  </si>
  <si>
    <t>GenABEL</t>
  </si>
  <si>
    <t>&gt; 99%</t>
  </si>
  <si>
    <r>
      <t>&gt; 10</t>
    </r>
    <r>
      <rPr>
        <vertAlign val="superscript"/>
        <sz val="11"/>
        <rFont val="Calibri"/>
        <family val="2"/>
        <scheme val="minor"/>
      </rPr>
      <t>-8</t>
    </r>
  </si>
  <si>
    <t>CHARGE joint calling</t>
  </si>
  <si>
    <t>Asian_Vand_ExomeChipConsortium_15033784_A</t>
  </si>
  <si>
    <t>GenomeStudio version 2011.1 + Genotyping Module version 1.9.4  + GenTrain Version 1.0</t>
  </si>
  <si>
    <t>EigenSoft</t>
  </si>
  <si>
    <t>GWAS</t>
  </si>
  <si>
    <t>Used the GenomeStudio cluster files provided by the CHARGE consortium from their joint calling</t>
  </si>
  <si>
    <t>Exome Chip (only variants with MAF&gt;5%)</t>
  </si>
  <si>
    <t>Illumina HumanHap and OmniExpress arrays (followed by imputation)</t>
  </si>
  <si>
    <t>BeadStudio</t>
  </si>
  <si>
    <t>EIGENSTRAT</t>
  </si>
  <si>
    <t>Use 120,732 uncorrelated SNPs on the  Illumina chips</t>
  </si>
  <si>
    <t>Replication List</t>
  </si>
  <si>
    <t>In-house software at deCode</t>
  </si>
  <si>
    <t>EIGENSOFT</t>
  </si>
  <si>
    <t>Axiom UK Biobank Array</t>
  </si>
  <si>
    <t>Axiom GT1 in Genotyping Console 4.0</t>
  </si>
  <si>
    <t>SNPRelate (R package)</t>
  </si>
  <si>
    <t>Others:all pairwise independent (LD&lt;0.5) variants on chip</t>
  </si>
  <si>
    <r>
      <t>≥ 10</t>
    </r>
    <r>
      <rPr>
        <vertAlign val="superscript"/>
        <sz val="11"/>
        <rFont val="Calibri"/>
        <family val="2"/>
        <scheme val="minor"/>
      </rPr>
      <t>-6</t>
    </r>
  </si>
  <si>
    <t>HumanExome-12v1_A</t>
  </si>
  <si>
    <t>Genotype calls generated on cluster boundaries trained on using study samples + manual review of clusterplots</t>
  </si>
  <si>
    <t>RvTest (with empirical kinship)</t>
  </si>
  <si>
    <t>HumanExome-12v1-1_A</t>
  </si>
  <si>
    <t>Illumina GenCall using standard Illumina cluster files + Zcall</t>
  </si>
  <si>
    <t>Illumina Human Exome Beadchip v1</t>
  </si>
  <si>
    <t>GenCall followed by zCall</t>
  </si>
  <si>
    <t>Illumina HumanExome-12v1-1</t>
  </si>
  <si>
    <t>GeneCall +Zcall (Exome-chip QC SOP v5)</t>
  </si>
  <si>
    <t>&gt; 10-6</t>
  </si>
  <si>
    <t>EPIC</t>
  </si>
  <si>
    <t>GeneCall + Zcall (calling QC procedure according to Grove et al)</t>
  </si>
  <si>
    <t>R version 3.0.3 / package SNPRelate 0.9.19 (PCs)</t>
  </si>
  <si>
    <t>AIMs</t>
  </si>
  <si>
    <t>Illumina HumanCoreExome</t>
  </si>
  <si>
    <t>GenCall + zCall (Oxford protocol)</t>
  </si>
  <si>
    <t>HumanCoreExome SNPs after minor allele frequency filterering and LD pruning.</t>
  </si>
  <si>
    <t>≥ 97% (GenCall), ≥ 99% (zCall)</t>
  </si>
  <si>
    <r>
      <t>≥ 10</t>
    </r>
    <r>
      <rPr>
        <vertAlign val="superscript"/>
        <sz val="11"/>
        <rFont val="Calibri"/>
        <family val="2"/>
        <scheme val="minor"/>
      </rPr>
      <t>-4</t>
    </r>
  </si>
  <si>
    <t>humanCore+exome</t>
  </si>
  <si>
    <t>Human Core + Exome Chip</t>
  </si>
  <si>
    <t>Charge Exomechip Joint calling</t>
  </si>
  <si>
    <t>&gt; 90% (AA)
≥ 99% (EA)</t>
  </si>
  <si>
    <t>237729 (AA)
237376 (EA)</t>
  </si>
  <si>
    <t>100012 (AA)
96310 (EA)</t>
  </si>
  <si>
    <t>&gt;0%</t>
  </si>
  <si>
    <r>
      <t>&gt; 10</t>
    </r>
    <r>
      <rPr>
        <vertAlign val="superscript"/>
        <sz val="11"/>
        <rFont val="Calibri"/>
        <family val="2"/>
      </rPr>
      <t>-6</t>
    </r>
  </si>
  <si>
    <t>Illumina ExomeChip V1.2</t>
  </si>
  <si>
    <t>&gt; 95%</t>
  </si>
  <si>
    <r>
      <t>&gt; 10</t>
    </r>
    <r>
      <rPr>
        <vertAlign val="superscript"/>
        <sz val="11"/>
        <color theme="1"/>
        <rFont val="Calibri"/>
        <family val="2"/>
        <scheme val="minor"/>
      </rPr>
      <t>-6</t>
    </r>
  </si>
  <si>
    <t>Illumina ExomeChip 12v1.1 Beadchip</t>
  </si>
  <si>
    <t>GeneCall</t>
  </si>
  <si>
    <t>Autosome SNPs with MAF &gt; 0.05 and complete data for the entire sample</t>
  </si>
  <si>
    <t>233507 (AA)
240121 (EA)</t>
  </si>
  <si>
    <t>114091 (AA)
93284 (EA)</t>
  </si>
  <si>
    <t>Illumina HumanExomee 12v1.1</t>
  </si>
  <si>
    <t>GenCall + zCall (Sanger/Oxford? protocol)</t>
  </si>
  <si>
    <t>NA - empirical kinship matrix modelled instead</t>
  </si>
  <si>
    <t>≥ 99% (zCall)</t>
  </si>
  <si>
    <t>Illumina HumanExome-12v1</t>
  </si>
  <si>
    <t>GenCall + Zcall</t>
  </si>
  <si>
    <t>AIM SNPs for outlier detection, Exome Chip for adjustment</t>
  </si>
  <si>
    <t>RareMetalWorker (with empirical kinship)</t>
  </si>
  <si>
    <t>Illumina HumanExome-12v1_A</t>
  </si>
  <si>
    <t>GenCall and Zcall (UK exomechip protocol SOPv5)</t>
  </si>
  <si>
    <t>Exome chip SNPs -MAF ≥ 1%, complex regions excluded and LD pruned using r-squared 0.2</t>
  </si>
  <si>
    <t>GenCall call rate 95% and zCall call rate 99%</t>
  </si>
  <si>
    <t>smartpca</t>
  </si>
  <si>
    <t>Exome Chip SNPs that are polymorphisms 1000G ALL</t>
  </si>
  <si>
    <t>≥ 99.9%</t>
  </si>
  <si>
    <t>AIM SNPs for outlier detection, Exome Chip fo adjustment</t>
  </si>
  <si>
    <t>InterAct</t>
  </si>
  <si>
    <t>HumanCoreExome-12v1</t>
  </si>
  <si>
    <t>core exome chip</t>
  </si>
  <si>
    <t>Illumina ExomeChip V1.0 and V1.1</t>
  </si>
  <si>
    <t>GeneCall + zCall</t>
  </si>
  <si>
    <t>ADMIXTURE</t>
  </si>
  <si>
    <t>93966 (AA)
83337 (HA)</t>
  </si>
  <si>
    <t>93168 (AA)
80791 (HA)</t>
  </si>
  <si>
    <t>CHARGE joint calling (Illumina GenomeStudio v2011.1 software was utilized with the GenTrain 2.0 clustering algorithm)</t>
  </si>
  <si>
    <t xml:space="preserve">Eigensoft </t>
  </si>
  <si>
    <t>Bi-allelic Exome Chip SNPs with MAF &gt; 0.05, HWE p &gt; 0.000001, callrate &gt; 99%, pruned to be pairwise independent with r = 0.3 in plink.</t>
  </si>
  <si>
    <r>
      <t>&gt; 10</t>
    </r>
    <r>
      <rPr>
        <vertAlign val="superscript"/>
        <sz val="11"/>
        <rFont val="Calibri"/>
        <family val="2"/>
        <scheme val="minor"/>
      </rPr>
      <t>-7</t>
    </r>
  </si>
  <si>
    <t>plink</t>
  </si>
  <si>
    <t xml:space="preserve">Illumina Human Exome BeadChip </t>
  </si>
  <si>
    <t>Illumina OmniExpressExome BeadChip</t>
  </si>
  <si>
    <t>Illumina Exome Chip v1.0</t>
  </si>
  <si>
    <t>Illumina GenomeStudio2011.1</t>
  </si>
  <si>
    <t>PLINK-MDS</t>
  </si>
  <si>
    <t>Illumina HumanCoreExomeChip-24V1.0</t>
  </si>
  <si>
    <t>GeneCall (SOP v5)</t>
  </si>
  <si>
    <t>Based on LD prune</t>
  </si>
  <si>
    <t>Illumina ExomeChip+ v1.0 (Asian_Vand_ExomeChipConsortium)</t>
  </si>
  <si>
    <t>central calling effort 
(Grove etal. PloS One 8(7):e68095)</t>
  </si>
  <si>
    <t>GeneCall + Zcall (Exome-chip QC SOP v5.pdf)</t>
  </si>
  <si>
    <t>Affymetrix Axiom UKBiobank</t>
  </si>
  <si>
    <t>Axiom GT1</t>
  </si>
  <si>
    <t>PLINK v1.9beta</t>
  </si>
  <si>
    <t>Illumina Human Core Exome</t>
  </si>
  <si>
    <t>Illuminia HumanExome-12v1_A</t>
  </si>
  <si>
    <t>Illumina GenomeStudio GenTrain Clustering algorithm + zCall</t>
  </si>
  <si>
    <t xml:space="preserve">&gt; 0% </t>
  </si>
  <si>
    <t>GeneCall + Zcall (CHARGE Protocol)</t>
  </si>
  <si>
    <t>Affymetrix Axiom Biobank Plus GSKBB1</t>
  </si>
  <si>
    <t>AxiomGT1</t>
  </si>
  <si>
    <t>GCTA</t>
  </si>
  <si>
    <t>Illumina HumanOmniExpressExome-8 V1.0</t>
  </si>
  <si>
    <t>Illumina pre-defined EGT clusters (version A) + zCall</t>
  </si>
  <si>
    <r>
      <t>&gt; 10</t>
    </r>
    <r>
      <rPr>
        <vertAlign val="superscript"/>
        <sz val="11"/>
        <rFont val="Calibri"/>
        <family val="2"/>
        <scheme val="minor"/>
      </rPr>
      <t>-20</t>
    </r>
  </si>
  <si>
    <t>Illumina Human ExomeChip V1.2</t>
  </si>
  <si>
    <t>GenomeStudio with extensive manual review</t>
  </si>
  <si>
    <t>SmartPCA</t>
  </si>
  <si>
    <t>&gt; 1%</t>
  </si>
  <si>
    <t>Affymetrix UK Biobank Axiom
Affymetrix UK BiLEVE Axiom</t>
  </si>
  <si>
    <t>Algorithms implemented in Affymetrix Power Tools + Customised Algorithms by Affymetrix specifically for UK Biobank
See UK Biobank Documentation: 
http://www.ukbiobank.ac.uk/wp-content/uploads/2014/04/UKBiobank_genotyping_QC_documentation-web.pdf</t>
  </si>
  <si>
    <t>flashPCA
See UK Biobank Documentation: 
http://www.ukbiobank.ac.uk/wp-content/uploads/2014/04/UKBiobank_genotyping_QC_documentation-web.pdf</t>
  </si>
  <si>
    <t>BOLT-LMM</t>
  </si>
  <si>
    <t>107395 (case)
73630 (control)</t>
  </si>
  <si>
    <t>Illumina Exome Chip v1.1</t>
  </si>
  <si>
    <t>CHARGE Best Practices (PMID 23874508), GenomeStudio v 2011.1, Zcall, in-house manually valudiated statistical model</t>
  </si>
  <si>
    <t>SNPs used from GWAS</t>
  </si>
  <si>
    <t>GenomeStudio v2010.3</t>
  </si>
  <si>
    <t>Illumina CoreExome v1.0b</t>
  </si>
  <si>
    <t>GenCall</t>
  </si>
  <si>
    <r>
      <t>Study</t>
    </r>
    <r>
      <rPr>
        <b/>
        <vertAlign val="superscript"/>
        <sz val="11"/>
        <rFont val="Calibri"/>
        <family val="2"/>
        <scheme val="minor"/>
      </rPr>
      <t>a</t>
    </r>
  </si>
  <si>
    <t>Trait</t>
  </si>
  <si>
    <t>n</t>
  </si>
  <si>
    <t>mean</t>
  </si>
  <si>
    <t>SD</t>
  </si>
  <si>
    <t>median</t>
  </si>
  <si>
    <t>min</t>
  </si>
  <si>
    <t>max</t>
  </si>
  <si>
    <t>Age (yrs)</t>
  </si>
  <si>
    <t>BMI (kg/m²)</t>
  </si>
  <si>
    <t>Weight (kg)</t>
  </si>
  <si>
    <t>Height (cm)</t>
  </si>
  <si>
    <t>WC (cm)</t>
  </si>
  <si>
    <t xml:space="preserve"> -</t>
  </si>
  <si>
    <t>Hip (cm)</t>
  </si>
  <si>
    <t>WHR (cm/cm)</t>
  </si>
  <si>
    <t>ARIC (AA)</t>
  </si>
  <si>
    <t>ARIC (EA)</t>
  </si>
  <si>
    <t>BRAVE (CAD cases)</t>
  </si>
  <si>
    <t>BRAVE (controls)</t>
  </si>
  <si>
    <t>CARDIA (black)</t>
  </si>
  <si>
    <t>CARDIA (white)</t>
  </si>
  <si>
    <t>CHS-AA</t>
  </si>
  <si>
    <t>CHS-EA</t>
  </si>
  <si>
    <t xml:space="preserve">deCODE antropometric study </t>
  </si>
  <si>
    <t>FamHS (AA)</t>
  </si>
  <si>
    <t>FamHS (EA)</t>
  </si>
  <si>
    <t>FENLAND</t>
  </si>
  <si>
    <t>FINRISK 2007 (T2D cases)</t>
  </si>
  <si>
    <t>FINRISK 2007 (T2D controls)</t>
  </si>
  <si>
    <t>FUSION (T2D cases)</t>
  </si>
  <si>
    <t>FUSION (T2D controls)</t>
  </si>
  <si>
    <t>GENOA (AA)</t>
  </si>
  <si>
    <t>GENOA (EA)</t>
  </si>
  <si>
    <t>IRASFS (AA)</t>
  </si>
  <si>
    <t>IRASFS (HA)</t>
  </si>
  <si>
    <t>MESA (AA)</t>
  </si>
  <si>
    <t>MESA (EA)</t>
  </si>
  <si>
    <t>MESA (EAS)</t>
  </si>
  <si>
    <t>MESA (HA)</t>
  </si>
  <si>
    <t>PROMIS (CAD cases)</t>
  </si>
  <si>
    <t>PROMIS (controls)</t>
  </si>
  <si>
    <t>SOLID-TIMI 52 (AA)</t>
  </si>
  <si>
    <t>SOLID-TIMI 52 (EA)</t>
  </si>
  <si>
    <t>SOLID-TIMI 52 (EAS)</t>
  </si>
  <si>
    <t>SOLID-TIMI 52 (HA)</t>
  </si>
  <si>
    <t>SOLID-TIMI 52 (SA)</t>
  </si>
  <si>
    <t>STABILITY (AA)</t>
  </si>
  <si>
    <t>STABILITY (EA)</t>
  </si>
  <si>
    <t>STABILITY (EAS)</t>
  </si>
  <si>
    <t>STABILITY (HA)</t>
  </si>
  <si>
    <t>STABILITY (SA)</t>
  </si>
  <si>
    <t>Vejle (cases)</t>
  </si>
  <si>
    <t>Vejle (controls)</t>
  </si>
  <si>
    <t>WHI (AA)</t>
  </si>
  <si>
    <t>WHI (EA)</t>
  </si>
  <si>
    <t>Stage 1 +2, Meta-analysis</t>
  </si>
  <si>
    <t>Stage 1, Giant results</t>
  </si>
  <si>
    <t>Stage 2, UK Biobank</t>
  </si>
  <si>
    <t>Stage 2, DeCODE</t>
  </si>
  <si>
    <t>All Ancestry</t>
  </si>
  <si>
    <r>
      <t>Model</t>
    </r>
    <r>
      <rPr>
        <b/>
        <vertAlign val="superscript"/>
        <sz val="11"/>
        <color theme="1"/>
        <rFont val="Calibri"/>
        <family val="2"/>
        <scheme val="minor"/>
      </rPr>
      <t>a</t>
    </r>
  </si>
  <si>
    <t>Chr</t>
  </si>
  <si>
    <r>
      <t>Position (GRCh37)</t>
    </r>
    <r>
      <rPr>
        <b/>
        <vertAlign val="superscript"/>
        <sz val="11"/>
        <color theme="1"/>
        <rFont val="Calibri"/>
        <family val="2"/>
        <scheme val="minor"/>
      </rPr>
      <t>b</t>
    </r>
  </si>
  <si>
    <r>
      <t>Gene</t>
    </r>
    <r>
      <rPr>
        <b/>
        <vertAlign val="superscript"/>
        <sz val="11"/>
        <color theme="1"/>
        <rFont val="Calibri"/>
        <family val="2"/>
        <scheme val="minor"/>
      </rPr>
      <t>c</t>
    </r>
  </si>
  <si>
    <r>
      <t>Amino Acid change</t>
    </r>
    <r>
      <rPr>
        <b/>
        <vertAlign val="superscript"/>
        <sz val="11"/>
        <color theme="1"/>
        <rFont val="Calibri"/>
        <family val="2"/>
        <scheme val="minor"/>
      </rPr>
      <t>c</t>
    </r>
  </si>
  <si>
    <r>
      <t>Known locus</t>
    </r>
    <r>
      <rPr>
        <b/>
        <vertAlign val="superscript"/>
        <sz val="11"/>
        <color theme="1"/>
        <rFont val="Calibri"/>
        <family val="2"/>
        <scheme val="minor"/>
      </rPr>
      <t>d</t>
    </r>
  </si>
  <si>
    <t>Effect (WHRadjBMI increasing) Allele</t>
  </si>
  <si>
    <t>Pvalue</t>
  </si>
  <si>
    <t>Variant HWE P-value</t>
  </si>
  <si>
    <t>Variant imputation quality</t>
  </si>
  <si>
    <t>ADD</t>
  </si>
  <si>
    <t>rs7537203</t>
  </si>
  <si>
    <t>CLSPN</t>
  </si>
  <si>
    <t>N525S</t>
  </si>
  <si>
    <t>yes</t>
  </si>
  <si>
    <t>REC</t>
  </si>
  <si>
    <t>rs4668909</t>
  </si>
  <si>
    <t>NBAS</t>
  </si>
  <si>
    <t>K655R</t>
  </si>
  <si>
    <t>rs4082155</t>
  </si>
  <si>
    <t>SETD2</t>
  </si>
  <si>
    <t>P1962L</t>
  </si>
  <si>
    <t>rs2276853</t>
  </si>
  <si>
    <t>KIF9</t>
  </si>
  <si>
    <t>R638W</t>
  </si>
  <si>
    <t>STAB1</t>
  </si>
  <si>
    <t>ITIH3</t>
  </si>
  <si>
    <t>EFCAB12</t>
  </si>
  <si>
    <t>HERC3</t>
  </si>
  <si>
    <t>FAM13A</t>
  </si>
  <si>
    <t>rs142342609</t>
  </si>
  <si>
    <t>SCGB3A1</t>
  </si>
  <si>
    <t>G83D</t>
  </si>
  <si>
    <t>RSPO3</t>
  </si>
  <si>
    <t>KIAA0408</t>
  </si>
  <si>
    <t>rs3734447</t>
  </si>
  <si>
    <t>S61R</t>
  </si>
  <si>
    <t>rs146605392</t>
  </si>
  <si>
    <t>PKD1L1</t>
  </si>
  <si>
    <t>R1703H</t>
  </si>
  <si>
    <t>rs1935</t>
  </si>
  <si>
    <t>JMJD1C</t>
  </si>
  <si>
    <t>E2535D</t>
  </si>
  <si>
    <t>rs284860</t>
  </si>
  <si>
    <t>WBP1L</t>
  </si>
  <si>
    <t>S323P</t>
  </si>
  <si>
    <t>rs1798192</t>
  </si>
  <si>
    <t>HCAR3</t>
  </si>
  <si>
    <t>T173P</t>
  </si>
  <si>
    <t>ABCB9</t>
  </si>
  <si>
    <t>DNAH10</t>
  </si>
  <si>
    <t>CCDC92</t>
  </si>
  <si>
    <t>rs148151659</t>
  </si>
  <si>
    <t>SETD3</t>
  </si>
  <si>
    <t>A294T</t>
  </si>
  <si>
    <t>rs12593397</t>
  </si>
  <si>
    <t>SPTBN5</t>
  </si>
  <si>
    <t>R1560H</t>
  </si>
  <si>
    <t>VASN</t>
  </si>
  <si>
    <t>CORO7</t>
  </si>
  <si>
    <t>DNAJA3</t>
  </si>
  <si>
    <t>rs1800069</t>
  </si>
  <si>
    <t>ERCC4</t>
  </si>
  <si>
    <t>I706T</t>
  </si>
  <si>
    <t>rs201010410</t>
  </si>
  <si>
    <t>SHC2</t>
  </si>
  <si>
    <t>L532R</t>
  </si>
  <si>
    <t>IFI30</t>
  </si>
  <si>
    <t>MPV17L2</t>
  </si>
  <si>
    <t>GDF5</t>
  </si>
  <si>
    <t xml:space="preserve">a Variants identified came from models tested including an additive model (ADD) or recessive model (REC).  </t>
  </si>
  <si>
    <t>European only</t>
  </si>
  <si>
    <t>f P-value for sex heterogeneity, testing for difference between women-specific and men-specific beta estimates and standard errors, was calculated using EasyStrata (Winkler, T.W. et al. EasyStrata: evaluation and visualization of stratified genome-wide association meta-analysis data. Bioinformatics 2015: 31, 259-61.)</t>
  </si>
  <si>
    <r>
      <t>Gene</t>
    </r>
    <r>
      <rPr>
        <b/>
        <i/>
        <vertAlign val="superscript"/>
        <sz val="11"/>
        <color theme="1"/>
        <rFont val="Calibri"/>
        <family val="2"/>
        <scheme val="minor"/>
      </rPr>
      <t>c</t>
    </r>
  </si>
  <si>
    <t>Unconditioned results</t>
  </si>
  <si>
    <r>
      <t>Secondary signals, Most significant SNP after conditioning on LTS by locus</t>
    </r>
    <r>
      <rPr>
        <b/>
        <vertAlign val="superscript"/>
        <sz val="11"/>
        <rFont val="Calibri"/>
        <family val="2"/>
        <scheme val="minor"/>
      </rPr>
      <t xml:space="preserve"> f</t>
    </r>
  </si>
  <si>
    <t>If applicable, additional significant
SNPs after conditioning on secondary signal</t>
  </si>
  <si>
    <t>Effect/ Other Alleles</t>
  </si>
  <si>
    <t>Gene</t>
  </si>
  <si>
    <r>
      <t>Effect size</t>
    </r>
    <r>
      <rPr>
        <b/>
        <vertAlign val="superscript"/>
        <sz val="11"/>
        <color theme="1"/>
        <rFont val="Calibri"/>
        <family val="2"/>
        <scheme val="minor"/>
      </rPr>
      <t>d</t>
    </r>
    <r>
      <rPr>
        <b/>
        <sz val="11"/>
        <color theme="1"/>
        <rFont val="Calibri"/>
        <family val="2"/>
        <scheme val="minor"/>
      </rPr>
      <t xml:space="preserve"> (SD/allele)</t>
    </r>
  </si>
  <si>
    <t>Distance From LTS</t>
  </si>
  <si>
    <r>
      <t>r</t>
    </r>
    <r>
      <rPr>
        <b/>
        <vertAlign val="superscript"/>
        <sz val="11"/>
        <rFont val="Calibri"/>
        <family val="2"/>
        <scheme val="minor"/>
      </rPr>
      <t xml:space="preserve">2 </t>
    </r>
    <r>
      <rPr>
        <b/>
        <sz val="11"/>
        <rFont val="Calibri"/>
        <family val="2"/>
        <scheme val="minor"/>
      </rPr>
      <t>with LTS</t>
    </r>
  </si>
  <si>
    <t>C/A</t>
  </si>
  <si>
    <t>None</t>
  </si>
  <si>
    <t>C/T</t>
  </si>
  <si>
    <t>A/G</t>
  </si>
  <si>
    <t>A/C</t>
  </si>
  <si>
    <t>No (rs13303)</t>
  </si>
  <si>
    <t>T/C</t>
  </si>
  <si>
    <t>C/G</t>
  </si>
  <si>
    <t>G/A</t>
  </si>
  <si>
    <t>No (rs1892172)</t>
  </si>
  <si>
    <t>No (rs3812316)</t>
  </si>
  <si>
    <t>G/C</t>
  </si>
  <si>
    <t>G/T</t>
  </si>
  <si>
    <t>No (rs11057401)</t>
  </si>
  <si>
    <t>A/T</t>
  </si>
  <si>
    <t>No (rs3810818)</t>
  </si>
  <si>
    <t>No (rs8052655)</t>
  </si>
  <si>
    <t>No (rs4911494)</t>
  </si>
  <si>
    <t>No (rs62266958)</t>
  </si>
  <si>
    <t>No (rs1804080)</t>
  </si>
  <si>
    <t>No (rs3747579)</t>
  </si>
  <si>
    <t>No (rs874628)</t>
  </si>
  <si>
    <t>European Additive model Sex-combined analyses</t>
  </si>
  <si>
    <t>Abbreviations: GRCh37=human genome assembly build 37;rsID=based on dbSNP;SD=standard deviation; SE=standard error</t>
  </si>
  <si>
    <t>d Effect size is based on standard deviation (SD) per effect allele</t>
  </si>
  <si>
    <t>gene</t>
  </si>
  <si>
    <t>GWAS variant (all are non-coding)</t>
  </si>
  <si>
    <t>GWAS variant unconditioned</t>
  </si>
  <si>
    <r>
      <t>CONCLUSION</t>
    </r>
    <r>
      <rPr>
        <b/>
        <vertAlign val="superscript"/>
        <sz val="11"/>
        <rFont val="Calibri"/>
        <family val="2"/>
        <scheme val="minor"/>
      </rPr>
      <t>g</t>
    </r>
  </si>
  <si>
    <r>
      <t>Position (GRCh37)</t>
    </r>
    <r>
      <rPr>
        <b/>
        <vertAlign val="superscript"/>
        <sz val="11"/>
        <color rgb="FF000000"/>
        <rFont val="Calibri"/>
        <family val="2"/>
        <scheme val="minor"/>
      </rPr>
      <t>d</t>
    </r>
  </si>
  <si>
    <r>
      <t xml:space="preserve">Effect Allele Frequency </t>
    </r>
    <r>
      <rPr>
        <b/>
        <vertAlign val="superscript"/>
        <sz val="11"/>
        <rFont val="Calibri"/>
        <family val="2"/>
        <scheme val="minor"/>
      </rPr>
      <t>e</t>
    </r>
  </si>
  <si>
    <r>
      <t>Effect size</t>
    </r>
    <r>
      <rPr>
        <b/>
        <vertAlign val="superscript"/>
        <sz val="11"/>
        <color theme="1"/>
        <rFont val="Calibri"/>
        <family val="2"/>
        <scheme val="minor"/>
      </rPr>
      <t>f</t>
    </r>
    <r>
      <rPr>
        <b/>
        <sz val="11"/>
        <color theme="1"/>
        <rFont val="Calibri"/>
        <family val="2"/>
        <scheme val="minor"/>
      </rPr>
      <t xml:space="preserve"> (SD/allele)</t>
    </r>
  </si>
  <si>
    <t>rs2645294</t>
  </si>
  <si>
    <t>Inconclusive</t>
  </si>
  <si>
    <t>rs12731372</t>
  </si>
  <si>
    <t>rs12143789</t>
  </si>
  <si>
    <t>rs1106529</t>
  </si>
  <si>
    <t>Inconclusive - suggestive not independent</t>
  </si>
  <si>
    <t>rs1128249</t>
  </si>
  <si>
    <t>Not independent</t>
  </si>
  <si>
    <t>rs10195252</t>
  </si>
  <si>
    <t>rs12692737</t>
  </si>
  <si>
    <t>rs12692738</t>
  </si>
  <si>
    <t>rs17185198</t>
  </si>
  <si>
    <t xml:space="preserve">Independent </t>
  </si>
  <si>
    <t>rs11961815</t>
  </si>
  <si>
    <t>Colinearity</t>
  </si>
  <si>
    <t>rs72959041</t>
  </si>
  <si>
    <t>Not independent - LD with another GWAS locus</t>
  </si>
  <si>
    <t>rs1936805</t>
  </si>
  <si>
    <t>rs4765219</t>
  </si>
  <si>
    <t>rs863750</t>
  </si>
  <si>
    <t>Not independent - LD with another GWAS</t>
  </si>
  <si>
    <t xml:space="preserve">d Variant positions are reported according to Human assembly build 37 and their alleles are coded based on the positive strand.  </t>
  </si>
  <si>
    <t>e Rare and low frequency variants in italics.</t>
  </si>
  <si>
    <t>f Effect size is based on standard deviation (SD) per effect allele</t>
  </si>
  <si>
    <t>GWAS Variant (all are non-coding)</t>
  </si>
  <si>
    <t>Proxy for GWAS Variant</t>
  </si>
  <si>
    <t>Distance of Proxy variant from GWAS variant</t>
  </si>
  <si>
    <t>R2, D' of Proxy variant with GWAS Variant</t>
  </si>
  <si>
    <t>GWAS/proxy Variant: Before Conditioning</t>
  </si>
  <si>
    <t>1:119503843 (rs984222)</t>
  </si>
  <si>
    <t>0.775, 0.926</t>
  </si>
  <si>
    <t>not independent</t>
  </si>
  <si>
    <t>2:165528876 (rs13389219)</t>
  </si>
  <si>
    <t>0.933, 1.00</t>
  </si>
  <si>
    <t>3:52558008 (rs13303)</t>
  </si>
  <si>
    <t>0.871, 0.965</t>
  </si>
  <si>
    <t>4:89740128 (rs13133548)</t>
  </si>
  <si>
    <t>0.935, 1.00</t>
  </si>
  <si>
    <t>6:6743149  (rs1294421)</t>
  </si>
  <si>
    <t>0.833, 0.962</t>
  </si>
  <si>
    <t>suggestive INDEPENDENT OF GWAS (also independent in UKBB)</t>
  </si>
  <si>
    <t>6:127452639 (rs9491696)</t>
  </si>
  <si>
    <t>0.967, 1.00</t>
  </si>
  <si>
    <t>INDEPENDENT OF GWAS, but not independent of rs72959041 in UKBB</t>
  </si>
  <si>
    <t>7:72856430 (rs1178979)</t>
  </si>
  <si>
    <t>1.00, 1.00</t>
  </si>
  <si>
    <t>suggestive INDEPENDENT OF GWAS, but suggestive not independent of rs863750 in the UKBB</t>
  </si>
  <si>
    <t>12:124427306 (rs11057401)</t>
  </si>
  <si>
    <t>0.931,1.00</t>
  </si>
  <si>
    <t>20:34025756 (rs143384)</t>
  </si>
  <si>
    <t>0.961, 1.00</t>
  </si>
  <si>
    <t>20:34025756  (rs143384)</t>
  </si>
  <si>
    <t>INDEPENDENT, but not independent of other GWAS signals at the same locus</t>
  </si>
  <si>
    <t>suggestive INDEPENDENT, but suggestive not independent of rs863750 in the UKBB</t>
  </si>
  <si>
    <t>BMI</t>
  </si>
  <si>
    <t>WHRadjBMI</t>
  </si>
  <si>
    <t>Corrected WHRadjBMI</t>
  </si>
  <si>
    <t>dbsnpid</t>
  </si>
  <si>
    <r>
      <t>Effect size</t>
    </r>
    <r>
      <rPr>
        <b/>
        <vertAlign val="superscript"/>
        <sz val="11"/>
        <color theme="1"/>
        <rFont val="Calibri"/>
        <family val="2"/>
        <scheme val="minor"/>
      </rPr>
      <t>c</t>
    </r>
    <r>
      <rPr>
        <b/>
        <sz val="11"/>
        <color theme="1"/>
        <rFont val="Calibri"/>
        <family val="2"/>
        <scheme val="minor"/>
      </rPr>
      <t xml:space="preserve"> (SD/allele)</t>
    </r>
  </si>
  <si>
    <r>
      <t xml:space="preserve">Opposite Direction + P&lt;0.05 </t>
    </r>
    <r>
      <rPr>
        <b/>
        <vertAlign val="superscript"/>
        <sz val="11"/>
        <color theme="1"/>
        <rFont val="Calibri"/>
        <family val="2"/>
        <scheme val="minor"/>
      </rPr>
      <t>d</t>
    </r>
  </si>
  <si>
    <t>Combined Sexes</t>
  </si>
  <si>
    <t>Y</t>
  </si>
  <si>
    <t>European Ancestry Sex-combined analyses</t>
  </si>
  <si>
    <t>Abbreviations: GRCh37=human genome assembly build 37;SD=standard deviation; SE=standard error;N=sample size</t>
  </si>
  <si>
    <t>c Effect size is based on standard deviation (SD) per effect allele</t>
  </si>
  <si>
    <t>d The direction of effect is opposite for BMI compared to WHRadjBMI and the P-value is &lt;0.05.  Y=Yes</t>
  </si>
  <si>
    <t>SKAT</t>
  </si>
  <si>
    <t>VT</t>
  </si>
  <si>
    <t>Strata</t>
  </si>
  <si>
    <t>GENE</t>
  </si>
  <si>
    <r>
      <t xml:space="preserve">Gene definition for variants included </t>
    </r>
    <r>
      <rPr>
        <b/>
        <vertAlign val="superscript"/>
        <sz val="11"/>
        <color theme="1"/>
        <rFont val="Calibri"/>
        <family val="2"/>
        <scheme val="minor"/>
      </rPr>
      <t>a</t>
    </r>
  </si>
  <si>
    <r>
      <t xml:space="preserve">Top variant </t>
    </r>
    <r>
      <rPr>
        <b/>
        <vertAlign val="superscript"/>
        <sz val="11"/>
        <color theme="1"/>
        <rFont val="Calibri"/>
        <family val="2"/>
        <scheme val="minor"/>
      </rPr>
      <t>b</t>
    </r>
  </si>
  <si>
    <r>
      <t xml:space="preserve">Number of variants </t>
    </r>
    <r>
      <rPr>
        <b/>
        <vertAlign val="superscript"/>
        <sz val="11"/>
        <color theme="1"/>
        <rFont val="Calibri"/>
        <family val="2"/>
        <scheme val="minor"/>
      </rPr>
      <t>c</t>
    </r>
  </si>
  <si>
    <t>Unconditioned</t>
  </si>
  <si>
    <t>Conditioned on top variant</t>
  </si>
  <si>
    <t>All Ancestries</t>
  </si>
  <si>
    <t>Sex-Combined</t>
  </si>
  <si>
    <t>BROAD</t>
  </si>
  <si>
    <t xml:space="preserve">STRICT </t>
  </si>
  <si>
    <t>Women only</t>
  </si>
  <si>
    <r>
      <t xml:space="preserve">Not significant </t>
    </r>
    <r>
      <rPr>
        <vertAlign val="superscript"/>
        <sz val="11"/>
        <rFont val="Calibri"/>
        <family val="2"/>
        <scheme val="minor"/>
      </rPr>
      <t>c</t>
    </r>
  </si>
  <si>
    <t>DNAI1</t>
  </si>
  <si>
    <t>9:34500796</t>
  </si>
  <si>
    <t>NOP2</t>
  </si>
  <si>
    <t>12:6672587</t>
  </si>
  <si>
    <t>Abbreviations: SKAT=SNP-set sequence kernel assocation test; VT=variable threshold burden test;GRCh37=human genome assembly build 37;N=sample size</t>
  </si>
  <si>
    <t>a We created two lists (masks) of variant (minor allele frequency &lt;5%) for gene-based analyses. The “broad” mask includes nonsense, stop-loss, splice site variants, and missense defined as damaging by at least one of prediction algorithms (PolyPhen2 HumDiv and HumVar, LRT, MutationTaster and SIFT). The “strict” mask included the same variants as the “broad” mask, except for missense variants. Only missense variants predicted to be damaging by all five algorithms were included in the “strict” list.</t>
  </si>
  <si>
    <t xml:space="preserve">b  Top variant is the most significant variant in the gene-based test.  Chromosome:position is shown; positions are reported according to Human genome assembly build 37.  </t>
  </si>
  <si>
    <t>c Number of variants included in the gene-based test</t>
  </si>
  <si>
    <t xml:space="preserve">d Gene-based tests did not reach multiple testing correction threshold (unconditioned P-value&lt;2.5x10-6) in any stratum. </t>
  </si>
  <si>
    <r>
      <t>Original gene set ID</t>
    </r>
    <r>
      <rPr>
        <b/>
        <vertAlign val="superscript"/>
        <sz val="11"/>
        <color theme="1"/>
        <rFont val="Calibri"/>
        <family val="2"/>
        <scheme val="minor"/>
      </rPr>
      <t xml:space="preserve"> a</t>
    </r>
  </si>
  <si>
    <t>Original gene set description</t>
  </si>
  <si>
    <r>
      <t>Nominal P-value</t>
    </r>
    <r>
      <rPr>
        <b/>
        <vertAlign val="superscript"/>
        <sz val="11"/>
        <color theme="1"/>
        <rFont val="Calibri"/>
        <family val="2"/>
        <scheme val="minor"/>
      </rPr>
      <t xml:space="preserve"> b</t>
    </r>
  </si>
  <si>
    <t>False discovery rate</t>
  </si>
  <si>
    <r>
      <t xml:space="preserve">Shungin P-value </t>
    </r>
    <r>
      <rPr>
        <b/>
        <vertAlign val="superscript"/>
        <sz val="11"/>
        <color theme="1"/>
        <rFont val="Calibri"/>
        <family val="2"/>
        <scheme val="minor"/>
      </rPr>
      <t>c</t>
    </r>
  </si>
  <si>
    <r>
      <t>Meta-gene set ID</t>
    </r>
    <r>
      <rPr>
        <b/>
        <vertAlign val="superscript"/>
        <sz val="11"/>
        <color theme="1"/>
        <rFont val="Calibri"/>
        <family val="2"/>
        <scheme val="minor"/>
      </rPr>
      <t xml:space="preserve"> a</t>
    </r>
  </si>
  <si>
    <t>Meta-gene set description</t>
  </si>
  <si>
    <t>Reconstituted gene set Z score gene 1</t>
  </si>
  <si>
    <t>Reconstituted gene set Z score gene 2</t>
  </si>
  <si>
    <t>Reconstituted gene set Z score gene 3</t>
  </si>
  <si>
    <t>Reconstituted gene set Z score gene 4</t>
  </si>
  <si>
    <t>Reconstituted gene set Z score gene 5</t>
  </si>
  <si>
    <t>Reconstituted gene set Z score gene 6</t>
  </si>
  <si>
    <t>Reconstituted gene set Z score gene 7</t>
  </si>
  <si>
    <t>Reconstituted gene set Z score gene 8</t>
  </si>
  <si>
    <t>Reconstituted gene set Z score gene 9</t>
  </si>
  <si>
    <t>Reconstituted gene set Z score gene 10</t>
  </si>
  <si>
    <r>
      <t xml:space="preserve">Inverse normal transform outlier </t>
    </r>
    <r>
      <rPr>
        <b/>
        <vertAlign val="superscript"/>
        <sz val="11"/>
        <color theme="1"/>
        <rFont val="Calibri"/>
        <family val="2"/>
        <scheme val="minor"/>
      </rPr>
      <t>d</t>
    </r>
  </si>
  <si>
    <t>GO:0005811</t>
  </si>
  <si>
    <t>lipid particle</t>
  </si>
  <si>
    <t>&lt;0.01</t>
  </si>
  <si>
    <t>MP:0008034</t>
  </si>
  <si>
    <t>enhanced lipolysis</t>
  </si>
  <si>
    <t>PCK1 (6.009*,34.0)</t>
  </si>
  <si>
    <t>ACVR1C (5.98*,35.0)</t>
  </si>
  <si>
    <t>MLXIPL (4.1*,78.0)</t>
  </si>
  <si>
    <t>ITIH5 (3.809*,90.0)</t>
  </si>
  <si>
    <t>COBLL1 (3.226*,138.0)</t>
  </si>
  <si>
    <t>ITGA7 (3.055*,163.0)</t>
  </si>
  <si>
    <t>PEMT (2.604*,246.0)</t>
  </si>
  <si>
    <t>LAMA4 (2.579*,255.0)</t>
  </si>
  <si>
    <t>RREB1 (2.183*,411.0)</t>
  </si>
  <si>
    <t>HIP1R (2.125*,440.0)</t>
  </si>
  <si>
    <t>MP:0003055</t>
  </si>
  <si>
    <t>abnormal long bone epiphyseal plate morphology</t>
  </si>
  <si>
    <t>MP:0003662</t>
  </si>
  <si>
    <t>abnormal long bone epiphyseal plate proliferative zone</t>
  </si>
  <si>
    <t>ACAN (9.738*,2.0)</t>
  </si>
  <si>
    <t>CYTL1 (5.865*,32.0)</t>
  </si>
  <si>
    <t>TBX15 (3.572*,155.0)</t>
  </si>
  <si>
    <t>WSCD2 (3.546*,159.0)</t>
  </si>
  <si>
    <t>TBX4 (3.165*,217.0)</t>
  </si>
  <si>
    <t>SLC5A3 (3.162*,218.0)</t>
  </si>
  <si>
    <t>ACVR1C (2.936*,257.0)</t>
  </si>
  <si>
    <t>PCK1 (2.745*,334.0)</t>
  </si>
  <si>
    <t>NID2 (2.614*,376.0)</t>
  </si>
  <si>
    <t>ITIH5 (2.562*,397.0)</t>
  </si>
  <si>
    <t>MP:0003109</t>
  </si>
  <si>
    <t>short femur</t>
  </si>
  <si>
    <t>MP:0000130</t>
  </si>
  <si>
    <t>abnormal trabecular bone morphology</t>
  </si>
  <si>
    <t>ACAN (8.228*,10.0)</t>
  </si>
  <si>
    <t>CDH11 (4.383*,83.0)</t>
  </si>
  <si>
    <t>TNC (4.279*,90.0)</t>
  </si>
  <si>
    <t>CYTL1 (4.12*,102.0)</t>
  </si>
  <si>
    <t>MMP14 (3.939*,118.0)</t>
  </si>
  <si>
    <t>TBX15 (3.673*,144.0)</t>
  </si>
  <si>
    <t>ADAM12 (3.326*,192.0)</t>
  </si>
  <si>
    <t>NID2 (3.204*,223.0)</t>
  </si>
  <si>
    <t>TBX4 (3.097*,246.0)</t>
  </si>
  <si>
    <t>WSCD2 (2.937*,284.0)</t>
  </si>
  <si>
    <t>MP:0005508</t>
  </si>
  <si>
    <t>abnormal skeleton morphology</t>
  </si>
  <si>
    <t>ACAN (6.553*,1.0)</t>
  </si>
  <si>
    <t>CDH11 (4.68*,22.0)</t>
  </si>
  <si>
    <t>CYTL1 (3.944*,69.0)</t>
  </si>
  <si>
    <t>MMP14 (3.834*,78.0)</t>
  </si>
  <si>
    <t>NID2 (3.748*,89.0)</t>
  </si>
  <si>
    <t>LAMA4 (3.209*,191.0)</t>
  </si>
  <si>
    <t>TBX4 (3.197*,198.0)</t>
  </si>
  <si>
    <t>TNC (2.871*,272.0)</t>
  </si>
  <si>
    <t>HOXA7 (2.725*,318.0)</t>
  </si>
  <si>
    <t>PHTF2 (2.687*,334.0)</t>
  </si>
  <si>
    <t>MP:0005331</t>
  </si>
  <si>
    <t>insulin resistance</t>
  </si>
  <si>
    <t>MP:0002079</t>
  </si>
  <si>
    <t>increased circulating insulin level</t>
  </si>
  <si>
    <t>MLXIPL (5.614*,26.0)</t>
  </si>
  <si>
    <t>ACVR1C (5.323*,37.0)</t>
  </si>
  <si>
    <t>PCK1 (4.941*,48.0)</t>
  </si>
  <si>
    <t>ITIH5 (3.92*,84.0)</t>
  </si>
  <si>
    <t>PEMT (3.894*,88.0)</t>
  </si>
  <si>
    <t>HSPG2 (3.343*,136.0)</t>
  </si>
  <si>
    <t>ZBTB7B (2.707*,228.0)</t>
  </si>
  <si>
    <t>LAMA4 (2.626*,242.0)</t>
  </si>
  <si>
    <t>TBX15 (2.262*,388.0)</t>
  </si>
  <si>
    <t>ADAM12 (2.131*,468.0)</t>
  </si>
  <si>
    <t>MP:0005670</t>
  </si>
  <si>
    <t>abnormal white adipose tissue physiology</t>
  </si>
  <si>
    <t>&lt;0.05</t>
  </si>
  <si>
    <t>ACVR1C (5.639*,28.0)</t>
  </si>
  <si>
    <t>PCK1 (4.653*,49.0)</t>
  </si>
  <si>
    <t>MLXIPL (3.979*,72.0)</t>
  </si>
  <si>
    <t>PEMT (3.957*,74.0)</t>
  </si>
  <si>
    <t>ITGA7 (3.322*,111.0)</t>
  </si>
  <si>
    <t>ITIH5 (3.299*,115.0)</t>
  </si>
  <si>
    <t>NUDT6 (2.136*,422.0)</t>
  </si>
  <si>
    <t>RREB1 (2.056*,497.0)</t>
  </si>
  <si>
    <t>LAMA4 (2.026*,516.0)</t>
  </si>
  <si>
    <t>HIP1R (1.99,540.0)</t>
  </si>
  <si>
    <t>MP:0005659</t>
  </si>
  <si>
    <t>decreased susceptibility to diet-induced obesity</t>
  </si>
  <si>
    <t>PCK1 (6.275*,6.0)</t>
  </si>
  <si>
    <t>ACVR1C (4.509*,32.0)</t>
  </si>
  <si>
    <t>MLXIPL (4.446*,35.0)</t>
  </si>
  <si>
    <t>ITGA7 (3.814*,53.0)</t>
  </si>
  <si>
    <t>PEMT (3.181*,94.0)</t>
  </si>
  <si>
    <t>ZZEF1 (3.137*,100.0)</t>
  </si>
  <si>
    <t>ITIH5 (2.987*,122.0)</t>
  </si>
  <si>
    <t>COBLL1 (2.667*,182.0)</t>
  </si>
  <si>
    <t>NID2 (2.595*,205.0)</t>
  </si>
  <si>
    <t>RREB1 (2.469*,259.0)</t>
  </si>
  <si>
    <t>ACAN (7.961*,7.0)</t>
  </si>
  <si>
    <t>CYTL1 (4.717*,60.0)</t>
  </si>
  <si>
    <t>CDH11 (4.051*,116.0)</t>
  </si>
  <si>
    <t>WSCD2 (3.02*,283.0)</t>
  </si>
  <si>
    <t>NID2 (3.017*,284.0)</t>
  </si>
  <si>
    <t>COBLL1 (2.885*,308.0)</t>
  </si>
  <si>
    <t>SEMA3D (2.664*,388.0)</t>
  </si>
  <si>
    <t>HSPG2 (2.553*,413.0)</t>
  </si>
  <si>
    <t>TBX4 (2.42*,460.0)</t>
  </si>
  <si>
    <t>RRBP1 (2.377*,474.0)</t>
  </si>
  <si>
    <t>MP:0000547</t>
  </si>
  <si>
    <t>short limbs</t>
  </si>
  <si>
    <t>ACAN (6.229*,8.0)</t>
  </si>
  <si>
    <t>CYTL1 (5.882*,14.0)</t>
  </si>
  <si>
    <t>CDH11 (3.31*,162.0)</t>
  </si>
  <si>
    <t>TBX15 (3.191*,182.0)</t>
  </si>
  <si>
    <t>WSCD2 (3.128*,200.0)</t>
  </si>
  <si>
    <t>SLC5A3 (2.606*,338.0)</t>
  </si>
  <si>
    <t>NID2 (2.584*,346.0)</t>
  </si>
  <si>
    <t>TBX4 (2.338*,452.0)</t>
  </si>
  <si>
    <t>MMP14 (2.189*,545.0)</t>
  </si>
  <si>
    <t>SLC44A4 (2.141*,576.0)</t>
  </si>
  <si>
    <t>MP:0009115</t>
  </si>
  <si>
    <t>abnormal fat cell morphology</t>
  </si>
  <si>
    <t>ACVR1C (6.086*,20.0)</t>
  </si>
  <si>
    <t>PCK1 (5.748*,24.0)</t>
  </si>
  <si>
    <t>DAGLB (3.452*,99.0)</t>
  </si>
  <si>
    <t>ABCA1 (3.356*,111.0)</t>
  </si>
  <si>
    <t>EFCAB12 (3.096*,147.0)</t>
  </si>
  <si>
    <t>ITIH5 (2.684*,232.0)</t>
  </si>
  <si>
    <t>COBLL1 (2.668*,240.0)</t>
  </si>
  <si>
    <t>PEMT (2.647*,248.0)</t>
  </si>
  <si>
    <t>MLXIPL (2.626*,256.0)</t>
  </si>
  <si>
    <t>RFX2 (2.325*,366.0)</t>
  </si>
  <si>
    <t>ENSG00000157227</t>
  </si>
  <si>
    <t>MMP14 PPI subnetwork</t>
  </si>
  <si>
    <t>ENSG00000149968</t>
  </si>
  <si>
    <t>MMP3 PPI subnetwork</t>
  </si>
  <si>
    <t>MMP14 (4.393*,32.0)</t>
  </si>
  <si>
    <t>ADAM12 (4.316*,36.0)</t>
  </si>
  <si>
    <t>CYTL1 (3.867*,83.0)</t>
  </si>
  <si>
    <t>TNC (3.281*,156.0)</t>
  </si>
  <si>
    <t>CDH11 (3.032*,202.0)</t>
  </si>
  <si>
    <t>WSCD2 (2.786*,266.0)</t>
  </si>
  <si>
    <t>PEMT (2.696*,298.0)</t>
  </si>
  <si>
    <t>NID2 (2.556*,345.0)</t>
  </si>
  <si>
    <t>COBLL1 (2.406*,403.0)</t>
  </si>
  <si>
    <t>ABCA1 (2.388*,410.0)</t>
  </si>
  <si>
    <t>ENSG00000150093</t>
  </si>
  <si>
    <t>ITGB1 PPI subnetwork</t>
  </si>
  <si>
    <t>HSPG2 (5.492*,23.0)</t>
  </si>
  <si>
    <t>NID2 (5.009*,41.0)</t>
  </si>
  <si>
    <t>MMP14 (3.757*,114.0)</t>
  </si>
  <si>
    <t>LAMA4 (3.57*,147.0)</t>
  </si>
  <si>
    <t>TFPI (3.48*,158.0)</t>
  </si>
  <si>
    <t>ITIH5 (3.401*,171.0)</t>
  </si>
  <si>
    <t>CYTL1 (3.16*,227.0)</t>
  </si>
  <si>
    <t>CDH11 (2.99*,275.0)</t>
  </si>
  <si>
    <t>TNC (2.817*,333.0)</t>
  </si>
  <si>
    <t>STAB1 (2.608*,428.0)</t>
  </si>
  <si>
    <t>GO:0031589</t>
  </si>
  <si>
    <t>cell-substrate adhesion</t>
  </si>
  <si>
    <t>GO:0010810</t>
  </si>
  <si>
    <t>regulation of cell-substrate adhesion</t>
  </si>
  <si>
    <t>HSPG2 (3.688*,27.0)</t>
  </si>
  <si>
    <t>LAMA4 (3.163*,117.0)</t>
  </si>
  <si>
    <t>ITIH5 (3.055*,151.0)</t>
  </si>
  <si>
    <t>TNC (3.024*,157.0)</t>
  </si>
  <si>
    <t>SEMA3D (2.652*,280.0)</t>
  </si>
  <si>
    <t>STAB1 (2.503*,350.0)</t>
  </si>
  <si>
    <t>MICAL3 (2.499*,354.0)</t>
  </si>
  <si>
    <t>ITGA7 (2.443*,385.0)</t>
  </si>
  <si>
    <t>ADAM12 (2.348*,447.0)</t>
  </si>
  <si>
    <t>ACAN (2.322*,467.0)</t>
  </si>
  <si>
    <t>ENSG00000154928</t>
  </si>
  <si>
    <t>EPHB1 PPI subnetwork</t>
  </si>
  <si>
    <t>ENSG00000133216</t>
  </si>
  <si>
    <t>EPHB2 PPI subnetwork</t>
  </si>
  <si>
    <t>TFPI (2.699*,144.0)</t>
  </si>
  <si>
    <t>OBFC1 (2.684*,147.0)</t>
  </si>
  <si>
    <t>RREB1 (2.507*,214.0)</t>
  </si>
  <si>
    <t>HSPG2 (2.457*,241.0)</t>
  </si>
  <si>
    <t>STAB1 (2.319*,325.0)</t>
  </si>
  <si>
    <t>EPHA2 (2.264*,359.0)</t>
  </si>
  <si>
    <t>EFCAB12 (2.206*,401.0)</t>
  </si>
  <si>
    <t>NID2 (2.191*,409.0)</t>
  </si>
  <si>
    <t>R3HDML (1.993,582.0)</t>
  </si>
  <si>
    <t>PPP2R3A (1.959,625.0)</t>
  </si>
  <si>
    <t>MP:0004686</t>
  </si>
  <si>
    <t>decreased length of long bones</t>
  </si>
  <si>
    <t>ACAN (7.948*,6.0)</t>
  </si>
  <si>
    <t>CYTL1 (3.806*,113.0)</t>
  </si>
  <si>
    <t>MMP14 (3.238*,191.0)</t>
  </si>
  <si>
    <t>RRBP1 (2.996*,237.0)</t>
  </si>
  <si>
    <t>TNC (2.916*,253.0)</t>
  </si>
  <si>
    <t>WSCD2 (2.79*,282.0)</t>
  </si>
  <si>
    <t>CDH11 (2.424*,394.0)</t>
  </si>
  <si>
    <t>ACVR1C (2.408*,402.0)</t>
  </si>
  <si>
    <t>TBX4 (2.34*,439.0)</t>
  </si>
  <si>
    <t>SLC5A3 (2.231*,484.0)</t>
  </si>
  <si>
    <t>GO:0007160</t>
  </si>
  <si>
    <t>cell-matrix adhesion</t>
  </si>
  <si>
    <t>HSPG2 (3.083*,78.0)</t>
  </si>
  <si>
    <t>TNC (3.082*,79.0)</t>
  </si>
  <si>
    <t>ITGA7 (3.012*,101.0)</t>
  </si>
  <si>
    <t>ITIH5 (2.99*,108.0)</t>
  </si>
  <si>
    <t>LAMA4 (2.251*,452.0)</t>
  </si>
  <si>
    <t>ATP6V1B1 (2.233*,470.0)</t>
  </si>
  <si>
    <t>WSCD2 (2.23*,473.0)</t>
  </si>
  <si>
    <t>PHTF2 (2.204*,495.0)</t>
  </si>
  <si>
    <t>MICAL3 (2.172*,521.0)</t>
  </si>
  <si>
    <t>STAB1 (2.097*,605.0)</t>
  </si>
  <si>
    <t>MP:0002109</t>
  </si>
  <si>
    <t>abnormal limb morphology</t>
  </si>
  <si>
    <t>MP:0000150</t>
  </si>
  <si>
    <t>abnormal rib morphology</t>
  </si>
  <si>
    <t>CDH11 (3.473*,82.0)</t>
  </si>
  <si>
    <t>TBX15 (3.4*,89.0)</t>
  </si>
  <si>
    <t>HSPG2 (3.168*,138.0)</t>
  </si>
  <si>
    <t>KREMEN1 (3.091*,162.0)</t>
  </si>
  <si>
    <t>TNC (2.986*,183.0)</t>
  </si>
  <si>
    <t>NID2 (2.659*,278.0)</t>
  </si>
  <si>
    <t>MMP14 (2.515*,342.0)</t>
  </si>
  <si>
    <t>CYTL1 (2.508*,345.0)</t>
  </si>
  <si>
    <t>ACAN (2.39*,407.0)</t>
  </si>
  <si>
    <t>SEMA3D (2.333*,445.0)</t>
  </si>
  <si>
    <t>MP:0002113</t>
  </si>
  <si>
    <t>abnormal skeleton development</t>
  </si>
  <si>
    <t>ACAN (5.705*,1.0)</t>
  </si>
  <si>
    <t>NID2 (3.697*,78.0)</t>
  </si>
  <si>
    <t>CYTL1 (3.145*,157.0)</t>
  </si>
  <si>
    <t>CDH11 (2.934*,204.0)</t>
  </si>
  <si>
    <t>MMP14 (2.528*,359.0)</t>
  </si>
  <si>
    <t>HOXA7 (2.517*,363.0)</t>
  </si>
  <si>
    <t>TBX15 (2.472*,389.0)</t>
  </si>
  <si>
    <t>PCK1 (2.433*,408.0)</t>
  </si>
  <si>
    <t>RRBP1 (2.311*,480.0)</t>
  </si>
  <si>
    <t>HSPG2 (2.204*,558.0)</t>
  </si>
  <si>
    <t>MP:0004893</t>
  </si>
  <si>
    <t>decreased adiponectin level</t>
  </si>
  <si>
    <t>MP:0002078</t>
  </si>
  <si>
    <t>abnormal glucose homeostasis</t>
  </si>
  <si>
    <t>PCK1 (5.06*,23.0)</t>
  </si>
  <si>
    <t>RASIP1 (3.943*,39.0)</t>
  </si>
  <si>
    <t>STAB1 (3.077*,114.0)</t>
  </si>
  <si>
    <t>HSPG2 (3.059*,115.0)</t>
  </si>
  <si>
    <t>ITIH5 (2.98*,134.0)</t>
  </si>
  <si>
    <t>ACVR1C (2.873*,158.0)</t>
  </si>
  <si>
    <t>MAML2 (2.834*,165.0)</t>
  </si>
  <si>
    <t>LAMA4 (2.748*,184.0)</t>
  </si>
  <si>
    <t>ITGA7 (2.641*,219.0)</t>
  </si>
  <si>
    <t>PEMT (2.51*,261.0)</t>
  </si>
  <si>
    <t>MP:0004185</t>
  </si>
  <si>
    <t>abnormal adipocyte glucose uptake</t>
  </si>
  <si>
    <t>PPP2R3A (2.762*,139.0)</t>
  </si>
  <si>
    <t>ACVR1C (2.675*,156.0)</t>
  </si>
  <si>
    <t>TBC1D10A (2.6*,183.0)</t>
  </si>
  <si>
    <t>NID2 (2.577*,197.0)</t>
  </si>
  <si>
    <t>MLXIPL (2.292*,343.0)</t>
  </si>
  <si>
    <t>C3orf18 (2.242*,374.0)</t>
  </si>
  <si>
    <t>MPV17L2 (2.169*,418.0)</t>
  </si>
  <si>
    <t>SLC5A3 (2.135*,443.0)</t>
  </si>
  <si>
    <t>PLCE1 (2.126*,451.0)</t>
  </si>
  <si>
    <t>PSME4 (2.096*,480.0)</t>
  </si>
  <si>
    <t>MP:0009133</t>
  </si>
  <si>
    <t>decreased white fat cell size</t>
  </si>
  <si>
    <t>ACVR1C (4.354*,36.0)</t>
  </si>
  <si>
    <t>PCK1 (3.977*,49.0)</t>
  </si>
  <si>
    <t>ITIH5 (3.905*,53.0)</t>
  </si>
  <si>
    <t>MLXIPL (3.706*,61.0)</t>
  </si>
  <si>
    <t>PEMT (3.411*,79.0)</t>
  </si>
  <si>
    <t>ZZEF1 (2.9*,129.0)</t>
  </si>
  <si>
    <t>ZBTB7B (2.662*,183.0)</t>
  </si>
  <si>
    <t>RREB1 (2.588*,207.0)</t>
  </si>
  <si>
    <t>WBP1L (2.394*,297.0)</t>
  </si>
  <si>
    <t>ITGA7 (2.286*,346.0)</t>
  </si>
  <si>
    <t>KEGG_ECM_RECEPTOR_INTERACTION</t>
  </si>
  <si>
    <t>GO:0031012</t>
  </si>
  <si>
    <t>extracellular matrix</t>
  </si>
  <si>
    <t>NID2 (6.55*,22.0)</t>
  </si>
  <si>
    <t>ACAN (5.739*,44.0)</t>
  </si>
  <si>
    <t>HSPG2 (5.602*,53.0)</t>
  </si>
  <si>
    <t>TNC (5.205*,65.0)</t>
  </si>
  <si>
    <t>MMP14 (5.072*,72.0)</t>
  </si>
  <si>
    <t>CDH11 (3.994*,150.0)</t>
  </si>
  <si>
    <t>ADAM12 (3.906*,157.0)</t>
  </si>
  <si>
    <t>ITIH5 (3.354*,236.0)</t>
  </si>
  <si>
    <t>LAMA4 (3.193*,258.0)</t>
  </si>
  <si>
    <t>CYTL1 (2.898*,325.0)</t>
  </si>
  <si>
    <t>MP:0004351</t>
  </si>
  <si>
    <t>short humerus</t>
  </si>
  <si>
    <t>MP:0004359</t>
  </si>
  <si>
    <t>short ulna</t>
  </si>
  <si>
    <t>CYTL1 (5.74*,16.0)</t>
  </si>
  <si>
    <t>ACAN (5.653*,18.0)</t>
  </si>
  <si>
    <t>TBX4 (4.635*,46.0)</t>
  </si>
  <si>
    <t>LAMA4 (4.169*,67.0)</t>
  </si>
  <si>
    <t>NID2 (3.34*,162.0)</t>
  </si>
  <si>
    <t>CDH11 (3.244*,176.0)</t>
  </si>
  <si>
    <t>ADAM12 (2.95*,251.0)</t>
  </si>
  <si>
    <t>WSCD2 (2.842*,287.0)</t>
  </si>
  <si>
    <t>TBX15 (2.803*,297.0)</t>
  </si>
  <si>
    <t>TNC (2.755*,316.0)</t>
  </si>
  <si>
    <t>*</t>
  </si>
  <si>
    <t>GO:0001501</t>
  </si>
  <si>
    <t>skeletal system development</t>
  </si>
  <si>
    <t>GO:0048704</t>
  </si>
  <si>
    <t>embryonic skeletal system morphogenesis</t>
  </si>
  <si>
    <t>HOXA7 (5.833*,13.0)</t>
  </si>
  <si>
    <t>ACAN (5.725*,14.0)</t>
  </si>
  <si>
    <t>TBX15 (4.224*,75.0)</t>
  </si>
  <si>
    <t>CYTL1 (3.282*,179.0)</t>
  </si>
  <si>
    <t>SEMA3D (2.834*,287.0)</t>
  </si>
  <si>
    <t>NID2 (2.48*,435.0)</t>
  </si>
  <si>
    <t>TBX4 (2.251*,558.0)</t>
  </si>
  <si>
    <t>ADAM12 (2.223*,579.0)</t>
  </si>
  <si>
    <t>MMP14 (2.166*,620.0)</t>
  </si>
  <si>
    <t>WSCD2 (2.131*,649.0)</t>
  </si>
  <si>
    <t>MP:0000066</t>
  </si>
  <si>
    <t>osteoporosis</t>
  </si>
  <si>
    <t>TNC (3.431*,26.0)</t>
  </si>
  <si>
    <t>ACAN (3.176*,55.0)</t>
  </si>
  <si>
    <t>THADA (3.015*,79.0)</t>
  </si>
  <si>
    <t>PLCE1 (2.87*,112.0)</t>
  </si>
  <si>
    <t>CAPRIN2 (2.588*,202.0)</t>
  </si>
  <si>
    <t>NUCB2 (2.254*,385.0)</t>
  </si>
  <si>
    <t>SLC5A3 (2.143*,485.0)</t>
  </si>
  <si>
    <t>RRBP1 (1.927,714.0)</t>
  </si>
  <si>
    <t>TBX15 (1.923,722.0)</t>
  </si>
  <si>
    <t>KREMEN1 (1.919,728.0)</t>
  </si>
  <si>
    <t>ENSG00000105664</t>
  </si>
  <si>
    <t>COMP PPI subnetwork</t>
  </si>
  <si>
    <t>MP:0010029</t>
  </si>
  <si>
    <t>abnormal basicranium morphology</t>
  </si>
  <si>
    <t>ACAN (7.961*,4.0)</t>
  </si>
  <si>
    <t>CYTL1 (5.45*,18.0)</t>
  </si>
  <si>
    <t>TBX4 (2.99*,131.0)</t>
  </si>
  <si>
    <t>PHTF2 (2.964*,134.0)</t>
  </si>
  <si>
    <t>HHATL (2.667*,192.0)</t>
  </si>
  <si>
    <t>CDH11 (2.575*,224.0)</t>
  </si>
  <si>
    <t>TNC (2.324*,349.0)</t>
  </si>
  <si>
    <t>WSCD2 (2.061*,552.0)</t>
  </si>
  <si>
    <t>MMP14 (2.053*,559.0)</t>
  </si>
  <si>
    <t>WBP1L (2.008*,592.0)</t>
  </si>
  <si>
    <t>GO:0005583</t>
  </si>
  <si>
    <t>fibrillar collagen</t>
  </si>
  <si>
    <t>GO:0048407</t>
  </si>
  <si>
    <t>platelet-derived growth factor binding</t>
  </si>
  <si>
    <t>ACAN (7.791*,30.0)</t>
  </si>
  <si>
    <t>CDH11 (7.063*,42.0)</t>
  </si>
  <si>
    <t>NID2 (7.059*,43.0)</t>
  </si>
  <si>
    <t>ADAM12 (5.855*,69.0)</t>
  </si>
  <si>
    <t>LAMA4 (4.525*,124.0)</t>
  </si>
  <si>
    <t>TNC (4.009*,164.0)</t>
  </si>
  <si>
    <t>MMP14 (3.778*,184.0)</t>
  </si>
  <si>
    <t>HSPG2 (3.36*,215.0)</t>
  </si>
  <si>
    <t>SEMA3D (2.903*,273.0)</t>
  </si>
  <si>
    <t>TBX15 (2.431*,361.0)</t>
  </si>
  <si>
    <t>MP:0000131</t>
  </si>
  <si>
    <t>abnormal long bone epiphysis morphology</t>
  </si>
  <si>
    <t>ACAN (10.793*,1.0)</t>
  </si>
  <si>
    <t>CYTL1 (4.513*,41.0)</t>
  </si>
  <si>
    <t>EPHA2 (3.021*,164.0)</t>
  </si>
  <si>
    <t>NID2 (2.659*,248.0)</t>
  </si>
  <si>
    <t>TNC (2.649*,254.0)</t>
  </si>
  <si>
    <t>TBX15 (2.647*,255.0)</t>
  </si>
  <si>
    <t>WSCD2 (2.611*,266.0)</t>
  </si>
  <si>
    <t>CDH11 (2.53*,299.0)</t>
  </si>
  <si>
    <t>COBLL1 (2.521*,304.0)</t>
  </si>
  <si>
    <t>TBX4 (2.392*,360.0)</t>
  </si>
  <si>
    <t>MP:0002746</t>
  </si>
  <si>
    <t>abnormal semilunar valve morphology</t>
  </si>
  <si>
    <t>MP:0002747</t>
  </si>
  <si>
    <t>abnormal aortic valve morphology</t>
  </si>
  <si>
    <t>EPHA2 (3.117*,117.0)</t>
  </si>
  <si>
    <t>RFX2 (3.016*,137.0)</t>
  </si>
  <si>
    <t>ACAN (2.615*,255.0)</t>
  </si>
  <si>
    <t>TBX15 (2.204*,475.0)</t>
  </si>
  <si>
    <t>MAML2 (2.109*,560.0)</t>
  </si>
  <si>
    <t>PHTF2 (1.993,666.0)</t>
  </si>
  <si>
    <t>PLCE1 (1.925,739.0)</t>
  </si>
  <si>
    <t>TNC (1.924,740.0)</t>
  </si>
  <si>
    <t>LAMA4 (1.921,744.0)</t>
  </si>
  <si>
    <t>WBP1L (1.916,753.0)</t>
  </si>
  <si>
    <t>MP:0011260</t>
  </si>
  <si>
    <t>abnormal head mesenchyme morphology</t>
  </si>
  <si>
    <t>MP:0002231</t>
  </si>
  <si>
    <t>abnormal primitive streak morphology</t>
  </si>
  <si>
    <t>PCNXL3 (4.322*,10.0)</t>
  </si>
  <si>
    <t>TBC1D10A (3.786*,23.0)</t>
  </si>
  <si>
    <t>MMP14 (2.857*,99.0)</t>
  </si>
  <si>
    <t>MYO19 (2.617*,167.0)</t>
  </si>
  <si>
    <t>ZZEF1 (2.617*,168.0)</t>
  </si>
  <si>
    <t>MICAL3 (2.49*,226.0)</t>
  </si>
  <si>
    <t>WNK1 (2.145*,431.0)</t>
  </si>
  <si>
    <t>CERS2 (1.887,706.0)</t>
  </si>
  <si>
    <t>PEMT (1.872,733.0)</t>
  </si>
  <si>
    <t>KIF9 (1.646,1083.0)</t>
  </si>
  <si>
    <t>MP:0000060</t>
  </si>
  <si>
    <t>delayed bone ossification</t>
  </si>
  <si>
    <t>CDH11 (5.043*,14.0)</t>
  </si>
  <si>
    <t>MMP14 (4.421*,42.0)</t>
  </si>
  <si>
    <t>ACAN (4.176*,57.0)</t>
  </si>
  <si>
    <t>CYTL1 (3.201*,149.0)</t>
  </si>
  <si>
    <t>EPHA2 (3.177*,156.0)</t>
  </si>
  <si>
    <t>TBX15 (3.08*,171.0)</t>
  </si>
  <si>
    <t>NID2 (2.956*,199.0)</t>
  </si>
  <si>
    <t>ADAM12 (2.591*,325.0)</t>
  </si>
  <si>
    <t>HSPG2 (2.422*,409.0)</t>
  </si>
  <si>
    <t>LAMA4 (2.344*,456.0)</t>
  </si>
  <si>
    <t>MP:0001954</t>
  </si>
  <si>
    <t>respiratory distress</t>
  </si>
  <si>
    <t>MP:0011087</t>
  </si>
  <si>
    <t>complete neonatal lethality</t>
  </si>
  <si>
    <t>CDH11 (3.758*,54.0)</t>
  </si>
  <si>
    <t>TBX4 (3.387*,108.0)</t>
  </si>
  <si>
    <t>HOXA7 (3.323*,119.0)</t>
  </si>
  <si>
    <t>ACAN (3.17*,161.0)</t>
  </si>
  <si>
    <t>NID2 (2.895*,251.0)</t>
  </si>
  <si>
    <t>TBX15 (2.857*,267.0)</t>
  </si>
  <si>
    <t>CYTL1 (2.851*,270.0)</t>
  </si>
  <si>
    <t>TNC (2.713*,325.0)</t>
  </si>
  <si>
    <t>MMP14 (2.687*,340.0)</t>
  </si>
  <si>
    <t>HSPG2 (2.361*,513.0)</t>
  </si>
  <si>
    <t>HOXA7 (7.089*,3.0)</t>
  </si>
  <si>
    <t>TBX15 (5.575*,14.0)</t>
  </si>
  <si>
    <t>ACAN (4.398*,61.0)</t>
  </si>
  <si>
    <t>CYTL1 (3.319*,187.0)</t>
  </si>
  <si>
    <t>CDH11 (3.258*,201.0)</t>
  </si>
  <si>
    <t>MMP14 (3.17*,213.0)</t>
  </si>
  <si>
    <t>SEMA3D (3.084*,241.0)</t>
  </si>
  <si>
    <t>NID2 (3.016*,260.0)</t>
  </si>
  <si>
    <t>TBX4 (2.942*,280.0)</t>
  </si>
  <si>
    <t>PHTF2 (2.713*,365.0)</t>
  </si>
  <si>
    <t>MP:0002725</t>
  </si>
  <si>
    <t>abnormal vein morphology</t>
  </si>
  <si>
    <t>GO:0001568</t>
  </si>
  <si>
    <t>blood vessel development</t>
  </si>
  <si>
    <t>HOXA7 (5.656*,4.0)</t>
  </si>
  <si>
    <t>TBX15 (3.105*,112.0)</t>
  </si>
  <si>
    <t>TFPI (2.907*,150.0)</t>
  </si>
  <si>
    <t>SLC39A8 (2.805*,187.0)</t>
  </si>
  <si>
    <t>SEMA3D (2.448*,332.0)</t>
  </si>
  <si>
    <t>RASIP1 (2.402*,362.0)</t>
  </si>
  <si>
    <t>NID2 (2.124*,548.0)</t>
  </si>
  <si>
    <t>CYTL1 (2.032*,629.0)</t>
  </si>
  <si>
    <t>STAB1 (1.94,711.0)</t>
  </si>
  <si>
    <t>FREM3 (1.812,870.0)</t>
  </si>
  <si>
    <t>MP:0008271</t>
  </si>
  <si>
    <t>abnormal bone ossification</t>
  </si>
  <si>
    <t>ACAN (6.808*,3.0)</t>
  </si>
  <si>
    <t>CDH11 (3.939*,65.0)</t>
  </si>
  <si>
    <t>CYTL1 (3.619*,100.0)</t>
  </si>
  <si>
    <t>TBX15 (3.389*,137.0)</t>
  </si>
  <si>
    <t>NID2 (3.241*,169.0)</t>
  </si>
  <si>
    <t>TNC (2.932*,232.0)</t>
  </si>
  <si>
    <t>MMP14 (2.492*,389.0)</t>
  </si>
  <si>
    <t>WSCD2 (2.232*,533.0)</t>
  </si>
  <si>
    <t>SLC5A3 (2.148*,580.0)</t>
  </si>
  <si>
    <t>LAMA4 (2.048*,650.0)</t>
  </si>
  <si>
    <t>MP:0001179</t>
  </si>
  <si>
    <t>thick pulmonary interalveolar septum</t>
  </si>
  <si>
    <t>MP:0004779</t>
  </si>
  <si>
    <t>abnormal production of surfactant</t>
  </si>
  <si>
    <t>RASIP1 (4.627*,16.0)</t>
  </si>
  <si>
    <t>HOXA7 (4.487*,18.0)</t>
  </si>
  <si>
    <t>SLC39A8 (3.926*,42.0)</t>
  </si>
  <si>
    <t>ADAM12 (3.82*,50.0)</t>
  </si>
  <si>
    <t>TBX4 (3.342*,89.0)</t>
  </si>
  <si>
    <t>MMP14 (3.326*,91.0)</t>
  </si>
  <si>
    <t>TFPI (3.243*,106.0)</t>
  </si>
  <si>
    <t>LAMA4 (2.969*,154.0)</t>
  </si>
  <si>
    <t>FGFR4 (2.954*,159.0)</t>
  </si>
  <si>
    <t>ABCA1 (2.922*,168.0)</t>
  </si>
  <si>
    <t>ENSG00000139219</t>
  </si>
  <si>
    <t>COL2A1 PPI subnetwork</t>
  </si>
  <si>
    <t>ACAN (12.646*,1.0)</t>
  </si>
  <si>
    <t>CYTL1 (6.463*,34.0)</t>
  </si>
  <si>
    <t>TNC (4.418*,91.0)</t>
  </si>
  <si>
    <t>NID2 (4.172*,112.0)</t>
  </si>
  <si>
    <t>HSPG2 (3.96*,129.0)</t>
  </si>
  <si>
    <t>LAMA4 (3.696*,163.0)</t>
  </si>
  <si>
    <t>CDH11 (3.591*,170.0)</t>
  </si>
  <si>
    <t>MMP14 (3.508*,183.0)</t>
  </si>
  <si>
    <t>WSCD2 (3.351*,209.0)</t>
  </si>
  <si>
    <t>PHTF2 (3.145*,249.0)</t>
  </si>
  <si>
    <t>LAMA4 (3.243*,65.0)</t>
  </si>
  <si>
    <t>SEMA3D (3.151*,86.0)</t>
  </si>
  <si>
    <t>TNC (3.049*,104.0)</t>
  </si>
  <si>
    <t>TFPI (2.589*,253.0)</t>
  </si>
  <si>
    <t>HSPG2 (2.408*,367.0)</t>
  </si>
  <si>
    <t>ADAM12 (2.401*,369.0)</t>
  </si>
  <si>
    <t>ITIH5 (2.196*,531.0)</t>
  </si>
  <si>
    <t>ACAN (2.116*,602.0)</t>
  </si>
  <si>
    <t>FGFR4 (1.74,1041.0)</t>
  </si>
  <si>
    <t>ITGA7 (1.701,1110.0)</t>
  </si>
  <si>
    <t>MP:0000165</t>
  </si>
  <si>
    <t>abnormal long bone hypertrophic chondrocyte zone</t>
  </si>
  <si>
    <t>ACAN (8.853*,5.0)</t>
  </si>
  <si>
    <t>CDH11 (3.99*,94.0)</t>
  </si>
  <si>
    <t>TNC (3.468*,146.0)</t>
  </si>
  <si>
    <t>EPHA2 (3.295*,177.0)</t>
  </si>
  <si>
    <t>CYTL1 (3.02*,229.0)</t>
  </si>
  <si>
    <t>TBX15 (2.826*,275.0)</t>
  </si>
  <si>
    <t>SEMA3D (2.677*,319.0)</t>
  </si>
  <si>
    <t>WSCD2 (2.468*,400.0)</t>
  </si>
  <si>
    <t>MMP14 (2.412*,419.0)</t>
  </si>
  <si>
    <t>ACVR1C (2.412*,420.0)</t>
  </si>
  <si>
    <t>MP:0000164</t>
  </si>
  <si>
    <t>abnormal cartilage development</t>
  </si>
  <si>
    <t>ACAN (9.652*,3.0)</t>
  </si>
  <si>
    <t>CYTL1 (5.479*,43.0)</t>
  </si>
  <si>
    <t>TNC (3.968*,113.0)</t>
  </si>
  <si>
    <t>CDH11 (3.941*,117.0)</t>
  </si>
  <si>
    <t>TBX4 (3.353*,186.0)</t>
  </si>
  <si>
    <t>TBX15 (3.27*,197.0)</t>
  </si>
  <si>
    <t>WSCD2 (3.102*,233.0)</t>
  </si>
  <si>
    <t>HOXA7 (2.609*,352.0)</t>
  </si>
  <si>
    <t>PLCE1 (2.395*,437.0)</t>
  </si>
  <si>
    <t>NID2 (2.321*,477.0)</t>
  </si>
  <si>
    <t>MP:0001258</t>
  </si>
  <si>
    <t>decreased body length</t>
  </si>
  <si>
    <t>MP:0000592</t>
  </si>
  <si>
    <t>short tail</t>
  </si>
  <si>
    <t>ACVR1C (3.902*,10.0)</t>
  </si>
  <si>
    <t>CDH11 (3.408*,36.0)</t>
  </si>
  <si>
    <t>NID2 (3.15*,62.0)</t>
  </si>
  <si>
    <t>PEMT (3.085*,69.0)</t>
  </si>
  <si>
    <t>ACAN (2.824*,139.0)</t>
  </si>
  <si>
    <t>SLC39A8 (2.81*,145.0)</t>
  </si>
  <si>
    <t>ADAM12 (2.646*,200.0)</t>
  </si>
  <si>
    <t>RREB1 (2.391*,322.0)</t>
  </si>
  <si>
    <t>PHTF2 (2.231*,433.0)</t>
  </si>
  <si>
    <t>COBLL1 (2.213*,443.0)</t>
  </si>
  <si>
    <t>MP:0010025</t>
  </si>
  <si>
    <t>decreased total body fat amount</t>
  </si>
  <si>
    <t>PCK1 (5.477*,5.0)</t>
  </si>
  <si>
    <t>MLXIPL (4.122*,27.0)</t>
  </si>
  <si>
    <t>TNC (3.906*,36.0)</t>
  </si>
  <si>
    <t>ACVR1C (3.755*,42.0)</t>
  </si>
  <si>
    <t>MMP14 (3.117*,98.0)</t>
  </si>
  <si>
    <t>ITGA7 (2.772*,160.0)</t>
  </si>
  <si>
    <t>NID2 (2.613*,212.0)</t>
  </si>
  <si>
    <t>ABCA1 (2.602*,215.0)</t>
  </si>
  <si>
    <t>ITIH5 (2.518*,237.0)</t>
  </si>
  <si>
    <t>RREB1 (2.393*,305.0)</t>
  </si>
  <si>
    <t>GO:0044420</t>
  </si>
  <si>
    <t>extracellular matrix part</t>
  </si>
  <si>
    <t>NID2 (6.406*,43.0)</t>
  </si>
  <si>
    <t>LAMA4 (5.735*,61.0)</t>
  </si>
  <si>
    <t>CDH11 (5.595*,67.0)</t>
  </si>
  <si>
    <t>ADAM12 (4.904*,111.0)</t>
  </si>
  <si>
    <t>HSPG2 (4.752*,123.0)</t>
  </si>
  <si>
    <t>ITIH5 (4.384*,150.0)</t>
  </si>
  <si>
    <t>MMP14 (4.007*,182.0)</t>
  </si>
  <si>
    <t>TNC (3.963*,188.0)</t>
  </si>
  <si>
    <t>ACAN (3.953*,189.0)</t>
  </si>
  <si>
    <t>STAB1 (3.393*,255.0)</t>
  </si>
  <si>
    <t>MP:0001731</t>
  </si>
  <si>
    <t>abnormal postnatal growth</t>
  </si>
  <si>
    <t>GO:0040014</t>
  </si>
  <si>
    <t>regulation of multicellular organism growth</t>
  </si>
  <si>
    <t>ACVR1C (4.822*,10.0)</t>
  </si>
  <si>
    <t>ITIH5 (3.669*,39.0)</t>
  </si>
  <si>
    <t>MGA (3.543*,50.0)</t>
  </si>
  <si>
    <t>PEMT (3.446*,55.0)</t>
  </si>
  <si>
    <t>JMJD1C (2.875*,140.0)</t>
  </si>
  <si>
    <t>MLXIPL (2.826*,153.0)</t>
  </si>
  <si>
    <t>UBR4 (2.739*,179.0)</t>
  </si>
  <si>
    <t>RREB1 (2.588*,223.0)</t>
  </si>
  <si>
    <t>L3MBTL3 (2.116*,466.0)</t>
  </si>
  <si>
    <t>DGKH (1.967,615.0)</t>
  </si>
  <si>
    <t>MP:0004892</t>
  </si>
  <si>
    <t>increased adiponectin level</t>
  </si>
  <si>
    <t>WNK1 (5.442*,1.0)</t>
  </si>
  <si>
    <t>PCK1 (2.964*,90.0)</t>
  </si>
  <si>
    <t>PLCE1 (2.949*,94.0)</t>
  </si>
  <si>
    <t>LAMA4 (2.944*,96.0)</t>
  </si>
  <si>
    <t>CYTL1 (2.73*,126.0)</t>
  </si>
  <si>
    <t>MLXIPL (2.627*,164.0)</t>
  </si>
  <si>
    <t>SLC5A3 (2.291*,332.0)</t>
  </si>
  <si>
    <t>ZZEF1 (2.226*,369.0)</t>
  </si>
  <si>
    <t>RFX2 (2.139*,453.0)</t>
  </si>
  <si>
    <t>FREM3 (2.131*,465.0)</t>
  </si>
  <si>
    <t>MP:0001614</t>
  </si>
  <si>
    <t>abnormal blood vessel morphology</t>
  </si>
  <si>
    <t>RASIP1 (4.749*,46.0)</t>
  </si>
  <si>
    <t>LAMA4 (4.482*,61.0)</t>
  </si>
  <si>
    <t>HSPG2 (4.231*,74.0)</t>
  </si>
  <si>
    <t>MMP14 (4.042*,85.0)</t>
  </si>
  <si>
    <t>NID2 (3.785*,106.0)</t>
  </si>
  <si>
    <t>CDH11 (3.422*,139.0)</t>
  </si>
  <si>
    <t>STAB1 (3.37*,144.0)</t>
  </si>
  <si>
    <t>ITGA7 (2.51*,361.0)</t>
  </si>
  <si>
    <t>JMJD1C (2.477*,376.0)</t>
  </si>
  <si>
    <t>GPR98 (2.283*,473.0)</t>
  </si>
  <si>
    <t>MP:0001533</t>
  </si>
  <si>
    <t>abnormal skeleton physiology</t>
  </si>
  <si>
    <t>ACAN (7.125*,7.0)</t>
  </si>
  <si>
    <t>TNC (3.984*,89.0)</t>
  </si>
  <si>
    <t>MMP14 (3.225*,178.0)</t>
  </si>
  <si>
    <t>STAB1 (2.994*,219.0)</t>
  </si>
  <si>
    <t>CYTL1 (2.737*,269.0)</t>
  </si>
  <si>
    <t>CERS2 (2.62*,307.0)</t>
  </si>
  <si>
    <t>LAMA4 (2.307*,443.0)</t>
  </si>
  <si>
    <t>WSCD2 (2.289*,458.0)</t>
  </si>
  <si>
    <t>TBX15 (2.155*,535.0)</t>
  </si>
  <si>
    <t>SLC39A8 (2.084*,582.0)</t>
  </si>
  <si>
    <t>ENSG00000215522</t>
  </si>
  <si>
    <t>DDR1 PPI subnetwork</t>
  </si>
  <si>
    <t>NID2 (3.52*,27.0)</t>
  </si>
  <si>
    <t>ACAN (3.417*,32.0)</t>
  </si>
  <si>
    <t>ADAM12 (3.348*,35.0)</t>
  </si>
  <si>
    <t>PHTF2 (3.171*,46.0)</t>
  </si>
  <si>
    <t>HSPG2 (2.616*,154.0)</t>
  </si>
  <si>
    <t>ETAA1 (2.334*,270.0)</t>
  </si>
  <si>
    <t>CDH11 (2.214*,351.0)</t>
  </si>
  <si>
    <t>CYTL1 (2.017*,521.0)</t>
  </si>
  <si>
    <t>WNK1 (1.886,674.0)</t>
  </si>
  <si>
    <t>C3orf18 (1.844,732.0)</t>
  </si>
  <si>
    <t>ENSG00000204580</t>
  </si>
  <si>
    <t>ENSG00000137332</t>
  </si>
  <si>
    <t>ACAN (6.583*,16.0)</t>
  </si>
  <si>
    <t>TNC (5.094*,49.0)</t>
  </si>
  <si>
    <t>CDH11 (4.268*,93.0)</t>
  </si>
  <si>
    <t>MMP14 (3.842*,134.0)</t>
  </si>
  <si>
    <t>ADAM12 (3.826*,138.0)</t>
  </si>
  <si>
    <t>CYTL1 (3.345*,202.0)</t>
  </si>
  <si>
    <t>TBX15 (2.85*,288.0)</t>
  </si>
  <si>
    <t>PHTF2 (2.784*,309.0)</t>
  </si>
  <si>
    <t>NID2 (2.744*,322.0)</t>
  </si>
  <si>
    <t>LAMA4 (2.363*,455.0)</t>
  </si>
  <si>
    <t>MP:0003723</t>
  </si>
  <si>
    <t>abnormal long bone morphology</t>
  </si>
  <si>
    <t>ACAN (6.235*,9.0)</t>
  </si>
  <si>
    <t>MMP14 (4.541*,66.0)</t>
  </si>
  <si>
    <t>CDH11 (4.286*,84.0)</t>
  </si>
  <si>
    <t>NID2 (3.95*,111.0)</t>
  </si>
  <si>
    <t>TNC (3.661*,138.0)</t>
  </si>
  <si>
    <t>WSCD2 (3.098*,221.0)</t>
  </si>
  <si>
    <t>SLC44A4 (2.914*,258.0)</t>
  </si>
  <si>
    <t>CYTL1 (2.865*,270.0)</t>
  </si>
  <si>
    <t>TBX4 (2.661*,329.0)</t>
  </si>
  <si>
    <t>EPHA2 (2.144*,565.0)</t>
  </si>
  <si>
    <t>MP:0000141</t>
  </si>
  <si>
    <t>abnormal vertebral body morphology</t>
  </si>
  <si>
    <t>ACAN (5.735*,10.0)</t>
  </si>
  <si>
    <t>CYTL1 (5.362*,19.0)</t>
  </si>
  <si>
    <t>MMP14 (5.103*,26.0)</t>
  </si>
  <si>
    <t>NID2 (3.812*,81.0)</t>
  </si>
  <si>
    <t>CDH11 (2.76*,254.0)</t>
  </si>
  <si>
    <t>ADAM12 (2.613*,298.0)</t>
  </si>
  <si>
    <t>TNC (2.523*,335.0)</t>
  </si>
  <si>
    <t>WBP1L (2.517*,336.0)</t>
  </si>
  <si>
    <t>RRBP1 (2.317*,433.0)</t>
  </si>
  <si>
    <t>HSPG2 (2.266*,475.0)</t>
  </si>
  <si>
    <t>GO:0040008</t>
  </si>
  <si>
    <t>regulation of growth</t>
  </si>
  <si>
    <t>GO:0001558</t>
  </si>
  <si>
    <t>regulation of cell growth</t>
  </si>
  <si>
    <t>CYTL1 (2.945*,49.0)</t>
  </si>
  <si>
    <t>FREM3 (2.43*,201.0)</t>
  </si>
  <si>
    <t>SEMA3D (2.203*,329.0)</t>
  </si>
  <si>
    <t>SLC5A3 (1.936,596.0)</t>
  </si>
  <si>
    <t>C3orf18 (1.79,779.0)</t>
  </si>
  <si>
    <t>ACAN (1.71,889.0)</t>
  </si>
  <si>
    <t>ZNF614 (1.69,937.0)</t>
  </si>
  <si>
    <t>TFPI (1.664,967.0)</t>
  </si>
  <si>
    <t>SPPL2C (1.624,1045.0)</t>
  </si>
  <si>
    <t>CAPRIN2 (1.617,1063.0)</t>
  </si>
  <si>
    <t>MP:0008844</t>
  </si>
  <si>
    <t>decreased subcutaneous adipose tissue amount</t>
  </si>
  <si>
    <t>PCK1 (5.151*,24.0)</t>
  </si>
  <si>
    <t>ACVR1C (4.153*,60.0)</t>
  </si>
  <si>
    <t>ITGA7 (4.081*,63.0)</t>
  </si>
  <si>
    <t>LAMA4 (3.378*,117.0)</t>
  </si>
  <si>
    <t>ITIH5 (3.281*,128.0)</t>
  </si>
  <si>
    <t>MLXIPL (3.24*,134.0)</t>
  </si>
  <si>
    <t>PEMT (2.802*,209.0)</t>
  </si>
  <si>
    <t>ADAM12 (2.689*,244.0)</t>
  </si>
  <si>
    <t>DAGLB (1.923,634.0)</t>
  </si>
  <si>
    <t>TNC (1.856,706.0)</t>
  </si>
  <si>
    <t>MP:0002267</t>
  </si>
  <si>
    <t>abnormal bronchiole morphology</t>
  </si>
  <si>
    <t>MP:0003209</t>
  </si>
  <si>
    <t>abnormal pulmonary elastic fiber morphology</t>
  </si>
  <si>
    <t>HOXA7 (9.031*,2.0)</t>
  </si>
  <si>
    <t>ADAM12 (4.174*,47.0)</t>
  </si>
  <si>
    <t>NID2 (3.256*,121.0)</t>
  </si>
  <si>
    <t>TBX4 (3.249*,122.0)</t>
  </si>
  <si>
    <t>CDH11 (3.124*,136.0)</t>
  </si>
  <si>
    <t>TNC (2.384*,346.0)</t>
  </si>
  <si>
    <t>ABCA1 (2.335*,374.0)</t>
  </si>
  <si>
    <t>HSPG2 (2.245*,428.0)</t>
  </si>
  <si>
    <t>KREMEN1 (1.749,894.0)</t>
  </si>
  <si>
    <t>MYO19 (1.656,1036.0)</t>
  </si>
  <si>
    <t>GO:0005604</t>
  </si>
  <si>
    <t>basement membrane</t>
  </si>
  <si>
    <t>HSPG2 (6.441*,12.0)</t>
  </si>
  <si>
    <t>NID2 (6.278*,18.0)</t>
  </si>
  <si>
    <t>LAMA4 (4.261*,93.0)</t>
  </si>
  <si>
    <t>ITIH5 (4.207*,101.0)</t>
  </si>
  <si>
    <t>ADAM12 (3.653*,177.0)</t>
  </si>
  <si>
    <t>TNC (3.571*,192.0)</t>
  </si>
  <si>
    <t>CDH11 (3.525*,201.0)</t>
  </si>
  <si>
    <t>MMP14 (3.19*,273.0)</t>
  </si>
  <si>
    <t>RASIP1 (3.051*,296.0)</t>
  </si>
  <si>
    <t>STAB1 (2.724*,389.0)</t>
  </si>
  <si>
    <t>Reconstituted gene set Z score columns indicate which WHR-associated EC genes have the highest z-score for pathway membership. In parentheses: (z-score, rank among all genes in that gene set); asterisk indicates z-score &gt; 2.</t>
  </si>
  <si>
    <t>a Full pathway membership data can be accessed at: http://www.broadinstitute.org/mpg/depict/depict_download/reconstituted_genesets/GPL570-GPL96-GPL1261-GPL1355TermGeneZScores-MGI_MF_CC_RT_IW_BP_KEGG_z_z.txt.gz</t>
  </si>
  <si>
    <r>
      <t>b Nominal enrichment </t>
    </r>
    <r>
      <rPr>
        <i/>
        <sz val="11"/>
        <color rgb="FF333333"/>
        <rFont val="Calibri"/>
        <family val="2"/>
        <scheme val="minor"/>
      </rPr>
      <t>P</t>
    </r>
    <r>
      <rPr>
        <sz val="11"/>
        <color rgb="FF333333"/>
        <rFont val="Calibri"/>
        <family val="2"/>
        <scheme val="minor"/>
      </rPr>
      <t>value of the reconstituted gene set (Null hypothesis: Genes in associated loci do not enrich for the reconstituted gene set).</t>
    </r>
  </si>
  <si>
    <r>
      <t xml:space="preserve">c Shungin P-value refers to the p-value for given gene set from Shungin et al. New genetic loci link adipose and insulin biology to body fat distribution. </t>
    </r>
    <r>
      <rPr>
        <i/>
        <sz val="11"/>
        <color theme="1"/>
        <rFont val="Calibri"/>
        <family val="2"/>
        <scheme val="minor"/>
      </rPr>
      <t>Nature 518</t>
    </r>
    <r>
      <rPr>
        <sz val="11"/>
        <color theme="1"/>
        <rFont val="Calibri"/>
        <family val="2"/>
        <scheme val="minor"/>
      </rPr>
      <t>, 187-196 (2015).</t>
    </r>
  </si>
  <si>
    <t>d Column “inverse normal transform outlier” contains an asterisk for gene sets with FDR &lt;0.05 that, when compared against an inverse normal transformed version of DEPICT, were outliers in terms of the rank change relative to the original results (see Supplementary Note for details).</t>
  </si>
  <si>
    <r>
      <t>Nominal P value</t>
    </r>
    <r>
      <rPr>
        <b/>
        <vertAlign val="superscript"/>
        <sz val="11"/>
        <color theme="1"/>
        <rFont val="Calibri"/>
        <family val="2"/>
        <scheme val="minor"/>
      </rPr>
      <t xml:space="preserve"> b</t>
    </r>
  </si>
  <si>
    <t>PHTF2 (2.754*,331.0)</t>
  </si>
  <si>
    <t>PHTF2 (2.415*,444.0)</t>
  </si>
  <si>
    <t>SEMA3D (2.332*,483.0)</t>
  </si>
  <si>
    <t>SEMA3D (2.219*,540.0)</t>
  </si>
  <si>
    <t>LAMA4 (1.901,747.0)</t>
  </si>
  <si>
    <t>CDH11 (1.861,808.0)</t>
  </si>
  <si>
    <t>TNC (2.112*,599.0)</t>
  </si>
  <si>
    <t>LAMA4 (2.063*,631.0)</t>
  </si>
  <si>
    <t>RPL39L (2.235*,553.0)</t>
  </si>
  <si>
    <t>PHTF2 (2.187*,577.0)</t>
  </si>
  <si>
    <t>SEMA3D (2.666*,341.0)</t>
  </si>
  <si>
    <t>SPPL2C (1.91,592.0)</t>
  </si>
  <si>
    <t>COPG2 (1.69,839.0)</t>
  </si>
  <si>
    <t>RASIP1 (1.652,882.0)</t>
  </si>
  <si>
    <t>NID2 (1.612,936.0)</t>
  </si>
  <si>
    <t>NID2 (2.08*,584.0)</t>
  </si>
  <si>
    <t>CDH11 (2.076*,590.0)</t>
  </si>
  <si>
    <t>NID2 (1.566,1200.0)</t>
  </si>
  <si>
    <t>MAML2 (1.558,1216.0)</t>
  </si>
  <si>
    <t>TMEM175 (1.568,1238.0)</t>
  </si>
  <si>
    <t>MP:0010856</t>
  </si>
  <si>
    <t>dilated respiratory conducting tubes</t>
  </si>
  <si>
    <t>TBX4 (6.641*,2.0)</t>
  </si>
  <si>
    <t>CDH11 (4.26*,27.0)</t>
  </si>
  <si>
    <t>ADAM12 (2.933*,168.0)</t>
  </si>
  <si>
    <t>LAMA4 (2.303*,424.0)</t>
  </si>
  <si>
    <t>MMP14 (2.28*,443.0)</t>
  </si>
  <si>
    <t>PLCE1 (2.108*,578.0)</t>
  </si>
  <si>
    <t>NID2 (1.987,690.0)</t>
  </si>
  <si>
    <t>MAML2 (1.974,704.0)</t>
  </si>
  <si>
    <t>SEMA3D (1.973,706.0)</t>
  </si>
  <si>
    <t>CYTL1 (1.968,712.0)</t>
  </si>
  <si>
    <t>ITGA9 (1.879,792.0)</t>
  </si>
  <si>
    <t>SEMA3D (2.314*,505.0)</t>
  </si>
  <si>
    <t>PLCE1 (2.341*,381.0)</t>
  </si>
  <si>
    <t>MMP14 (1.812,818.0)</t>
  </si>
  <si>
    <t>HPGD (2.174*,568.0)</t>
  </si>
  <si>
    <t>GO:0005540</t>
  </si>
  <si>
    <t>hyaluronic acid binding</t>
  </si>
  <si>
    <t>GO:0005539</t>
  </si>
  <si>
    <t>glycosaminoglycan binding</t>
  </si>
  <si>
    <t>ACAN (6.686*,5.0)</t>
  </si>
  <si>
    <t>CYTL1 (5.868*,10.0)</t>
  </si>
  <si>
    <t>ITGA9 (4.217*,51.0)</t>
  </si>
  <si>
    <t>ADAM12 (3.148*,146.0)</t>
  </si>
  <si>
    <t>WSCD2 (3.071*,160.0)</t>
  </si>
  <si>
    <t>TNC (2.576*,306.0)</t>
  </si>
  <si>
    <t>HIP1R (2.386*,388.0)</t>
  </si>
  <si>
    <t>LAMA4 (2.269*,440.0)</t>
  </si>
  <si>
    <t>SLC39A8 (2.034*,634.0)</t>
  </si>
  <si>
    <t>SEMA3D (1.732,998.0)</t>
  </si>
  <si>
    <t>MP:0002764</t>
  </si>
  <si>
    <t>short tibia</t>
  </si>
  <si>
    <t>ACAN (5.455*,7.0)</t>
  </si>
  <si>
    <t>CYTL1 (3.59*,124.0)</t>
  </si>
  <si>
    <t>TBX4 (3.472*,142.0)</t>
  </si>
  <si>
    <t>CDH11 (2.882*,264.0)</t>
  </si>
  <si>
    <t>MMP14 (2.667*,338.0)</t>
  </si>
  <si>
    <t>WSCD2 (2.358*,495.0)</t>
  </si>
  <si>
    <t>NID2 (2.317*,527.0)</t>
  </si>
  <si>
    <t>C3orf18 (2.203*,590.0)</t>
  </si>
  <si>
    <t>TNC (1.824,929.0)</t>
  </si>
  <si>
    <t>R3HDML (1.715,1076.0)</t>
  </si>
  <si>
    <t>MP:0001255</t>
  </si>
  <si>
    <t>decreased body height</t>
  </si>
  <si>
    <t>MYO19 (2.486*,311.0)</t>
  </si>
  <si>
    <t>CDH11 (2.458*,323.0)</t>
  </si>
  <si>
    <t>TMEM175 (2.368*,376.0)</t>
  </si>
  <si>
    <t>ACAN (2.327*,409.0)</t>
  </si>
  <si>
    <t>LAMA4 (2.181*,518.0)</t>
  </si>
  <si>
    <t>ITIH5 (2.154*,537.0)</t>
  </si>
  <si>
    <t>SLC5A3 (2.062*,604.0)</t>
  </si>
  <si>
    <t>TNC (2.062*,605.0)</t>
  </si>
  <si>
    <t>MMP14 (2.016*,661.0)</t>
  </si>
  <si>
    <t>RRBP1 (1.967,722.0)</t>
  </si>
  <si>
    <t>MP:0008525</t>
  </si>
  <si>
    <t>decreased cranium height</t>
  </si>
  <si>
    <t>MP:0000088</t>
  </si>
  <si>
    <t>short mandible</t>
  </si>
  <si>
    <t>TBX4 (6.039*,2.0)</t>
  </si>
  <si>
    <t>ACAN (2.967*,124.0)</t>
  </si>
  <si>
    <t>CYTL1 (2.618*,228.0)</t>
  </si>
  <si>
    <t>TNC (2.386*,331.0)</t>
  </si>
  <si>
    <t>MMP14 (2.056*,562.0)</t>
  </si>
  <si>
    <t>CERS2 (1.959,651.0)</t>
  </si>
  <si>
    <t>R3HDML (1.856,759.0)</t>
  </si>
  <si>
    <t>SEMA3D (1.839,787.0)</t>
  </si>
  <si>
    <t>HPGD (1.734,944.0)</t>
  </si>
  <si>
    <t>L3MBTL3 (1.696,1006.0)</t>
  </si>
  <si>
    <t>HIP1R (2.243*,512.0)</t>
  </si>
  <si>
    <t>CERS2 (2.102*,644.0)</t>
  </si>
  <si>
    <t>ACVR1C (2.065*,686.0)</t>
  </si>
  <si>
    <t>ITIH5 (2.039*,712.0)</t>
  </si>
  <si>
    <t>PHTF2 (2.019*,724.0)</t>
  </si>
  <si>
    <t>R3HDML (1.856,833.0)</t>
  </si>
  <si>
    <t>MP:0002835</t>
  </si>
  <si>
    <t>abnormal cranial suture morphology</t>
  </si>
  <si>
    <t>MP:0005358</t>
  </si>
  <si>
    <t>abnormal incisor morphology</t>
  </si>
  <si>
    <t>MMP14 (4.103*,27.0)</t>
  </si>
  <si>
    <t>CDH11 (4.045*,31.0)</t>
  </si>
  <si>
    <t>TBX4 (3.778*,51.0)</t>
  </si>
  <si>
    <t>ACAN (3.38*,92.0)</t>
  </si>
  <si>
    <t>MYO19 (2.595*,269.0)</t>
  </si>
  <si>
    <t>ADAM12 (2.281*,407.0)</t>
  </si>
  <si>
    <t>SEMA3D (2.223*,454.0)</t>
  </si>
  <si>
    <t>WBP1L (2.078*,564.0)</t>
  </si>
  <si>
    <t>TNC (1.791,872.0)</t>
  </si>
  <si>
    <t>ITGA9 (1.79,873.0)</t>
  </si>
  <si>
    <t>TBX4 (6.669*,3.0)</t>
  </si>
  <si>
    <t>ACAN (4.28*,50.0)</t>
  </si>
  <si>
    <t>CDH11 (4.184*,64.0)</t>
  </si>
  <si>
    <t>CYTL1 (3.577*,120.0)</t>
  </si>
  <si>
    <t>SEMA3D (3.175*,198.0)</t>
  </si>
  <si>
    <t>NID2 (3.084*,220.0)</t>
  </si>
  <si>
    <t>MMP14 (2.968*,252.0)</t>
  </si>
  <si>
    <t>C3orf18 (2.781*,324.0)</t>
  </si>
  <si>
    <t>LAMA4 (2.621*,392.0)</t>
  </si>
  <si>
    <t>WSCD2 (2.296*,546.0)</t>
  </si>
  <si>
    <t>MP:0003560</t>
  </si>
  <si>
    <t>osteoarthritis</t>
  </si>
  <si>
    <t>ACAN (10.168*,4.0)</t>
  </si>
  <si>
    <t>CYTL1 (4.88*,76.0)</t>
  </si>
  <si>
    <t>TNC (3.651*,145.0)</t>
  </si>
  <si>
    <t>CDH11 (3.403*,178.0)</t>
  </si>
  <si>
    <t>WSCD2 (3.026*,247.0)</t>
  </si>
  <si>
    <t>TBX4 (2.859*,279.0)</t>
  </si>
  <si>
    <t>NID2 (2.604*,334.0)</t>
  </si>
  <si>
    <t>HIP1R (2.534*,354.0)</t>
  </si>
  <si>
    <t>ADAM12 (2.399*,393.0)</t>
  </si>
  <si>
    <t>PHTF2 (2.374*,399.0)</t>
  </si>
  <si>
    <t>MP:0002427</t>
  </si>
  <si>
    <t>disproportionate dwarf</t>
  </si>
  <si>
    <t>ACAN (9.523*,6.0)</t>
  </si>
  <si>
    <t>CYTL1 (5.378*,45.0)</t>
  </si>
  <si>
    <t>WSCD2 (3.821*,118.0)</t>
  </si>
  <si>
    <t>RRBP1 (3.43*,152.0)</t>
  </si>
  <si>
    <t>TBX4 (2.854*,249.0)</t>
  </si>
  <si>
    <t>PHTF2 (2.816*,256.0)</t>
  </si>
  <si>
    <t>SLC5A3 (2.787*,266.0)</t>
  </si>
  <si>
    <t>RPL39L (2.745*,276.0)</t>
  </si>
  <si>
    <t>CDH11 (2.391*,400.0)</t>
  </si>
  <si>
    <t>TSEN15 (2.094*,550.0)</t>
  </si>
  <si>
    <r>
      <t>b Nominal enrichment </t>
    </r>
    <r>
      <rPr>
        <i/>
        <sz val="11"/>
        <rFont val="Calibri"/>
        <family val="2"/>
        <scheme val="minor"/>
      </rPr>
      <t>P</t>
    </r>
    <r>
      <rPr>
        <sz val="11"/>
        <rFont val="Calibri"/>
        <family val="2"/>
        <scheme val="minor"/>
      </rPr>
      <t>value of the reconstituted gene set (Null hypothesis: Genes in associated loci do not enrich for the reconstituted gene set).</t>
    </r>
  </si>
  <si>
    <r>
      <t xml:space="preserve">c Shungin P-value refers to the p-value for given gene set from Shungin et al. New genetic loci link adipose and insulin biology to body fat distribution. </t>
    </r>
    <r>
      <rPr>
        <i/>
        <sz val="11"/>
        <rFont val="Calibri"/>
        <family val="2"/>
        <scheme val="minor"/>
      </rPr>
      <t>Nature 518</t>
    </r>
    <r>
      <rPr>
        <sz val="11"/>
        <rFont val="Calibri"/>
        <family val="2"/>
        <scheme val="minor"/>
      </rPr>
      <t>, 187-196 (2015).</t>
    </r>
  </si>
  <si>
    <r>
      <t xml:space="preserve">Genome-wide variants </t>
    </r>
    <r>
      <rPr>
        <b/>
        <vertAlign val="superscript"/>
        <sz val="11"/>
        <color theme="1"/>
        <rFont val="Calibri"/>
        <family val="2"/>
        <scheme val="minor"/>
      </rPr>
      <t>d</t>
    </r>
  </si>
  <si>
    <r>
      <t xml:space="preserve">Pathway Name </t>
    </r>
    <r>
      <rPr>
        <b/>
        <vertAlign val="superscript"/>
        <sz val="11"/>
        <color theme="1"/>
        <rFont val="Calibri"/>
        <family val="2"/>
        <scheme val="minor"/>
      </rPr>
      <t>b</t>
    </r>
  </si>
  <si>
    <t>P-MAX</t>
  </si>
  <si>
    <t>P-SUM</t>
  </si>
  <si>
    <t>short ribs</t>
  </si>
  <si>
    <t>abnormal tracheal cartilage morphology</t>
  </si>
  <si>
    <t>abnormal vertebrae morphology</t>
  </si>
  <si>
    <t>proteinaceous extracellular matrix</t>
  </si>
  <si>
    <t>short radius</t>
  </si>
  <si>
    <t>NID2 PPI subnetwork</t>
  </si>
  <si>
    <t>FN1 PPI subnetwork</t>
  </si>
  <si>
    <t>extracellular matrix component</t>
  </si>
  <si>
    <t>TGFBI PPI subnetwork</t>
  </si>
  <si>
    <t>FGF7 PPI subnetwork</t>
  </si>
  <si>
    <t>extracellular matrix structural constituent</t>
  </si>
  <si>
    <t>incomplete somite formation</t>
  </si>
  <si>
    <t>abnormal renal/urinary system morphology</t>
  </si>
  <si>
    <t>ETS2 PPI subnetwork</t>
  </si>
  <si>
    <t>asymmetric rib-sternum attachment</t>
  </si>
  <si>
    <t>abnormal carpal bone morphology</t>
  </si>
  <si>
    <t>abnormal limb bone morphology</t>
  </si>
  <si>
    <t>growth factor binding</t>
  </si>
  <si>
    <t xml:space="preserve">a Pascal (Pathway scoring algorithm) details and software are available at https://www2.unil.ch/cbg/index.php?title=Pascal  </t>
  </si>
  <si>
    <t>b  Pathway library from KEGG, REACTOME and BIOCARTA</t>
  </si>
  <si>
    <t>c Coding variants from the exomechip were used to define the gene sets. Using chi-squared statistics, P-values were calculated from the sum or average association signals per gene (P-SUM) and maximum association signals per gene (P-MAX).</t>
  </si>
  <si>
    <t>d Both coding and regulatory variants genom-wide were used to define the gene sets. Using chi-squared statistics, P-values were calculated from the sum or average association signals per gene (P-SUM) and maximum association signals per gene (P-MAX).</t>
  </si>
  <si>
    <t>Height</t>
  </si>
  <si>
    <t>T2D</t>
  </si>
  <si>
    <t>HBA1C</t>
  </si>
  <si>
    <t>Fasting Insulin</t>
  </si>
  <si>
    <t>Fasting Glucose</t>
  </si>
  <si>
    <t>Two Hour Glucose</t>
  </si>
  <si>
    <t>Age at Menarche</t>
  </si>
  <si>
    <t>Age at Menopause</t>
  </si>
  <si>
    <t>HDL</t>
  </si>
  <si>
    <t>LDL</t>
  </si>
  <si>
    <t>Triglycerides</t>
  </si>
  <si>
    <t>Total Cholesterol</t>
  </si>
  <si>
    <t>DBP</t>
  </si>
  <si>
    <t>SBP</t>
  </si>
  <si>
    <t>exomeid</t>
  </si>
  <si>
    <t>exm88670</t>
  </si>
  <si>
    <t>exm88721</t>
  </si>
  <si>
    <t>exm105208</t>
  </si>
  <si>
    <t>exm124557</t>
  </si>
  <si>
    <t>exm234468</t>
  </si>
  <si>
    <t>exm237363</t>
  </si>
  <si>
    <t>exm251846</t>
  </si>
  <si>
    <t>exm318336</t>
  </si>
  <si>
    <t>exm322245</t>
  </si>
  <si>
    <t>exm323044</t>
  </si>
  <si>
    <t>exm348940</t>
  </si>
  <si>
    <t>exm349548</t>
  </si>
  <si>
    <t>exm349669</t>
  </si>
  <si>
    <t>exm413325</t>
  </si>
  <si>
    <t>exm413388</t>
  </si>
  <si>
    <t>exm421501</t>
  </si>
  <si>
    <t>exm506202</t>
  </si>
  <si>
    <t>exm514336</t>
  </si>
  <si>
    <t>exm521830</t>
  </si>
  <si>
    <t>exm540408</t>
  </si>
  <si>
    <t>exm2257506</t>
  </si>
  <si>
    <t>exm576726</t>
  </si>
  <si>
    <t>SOGA3</t>
  </si>
  <si>
    <t>exm604550</t>
  </si>
  <si>
    <t>exm625652</t>
  </si>
  <si>
    <t>exm625685</t>
  </si>
  <si>
    <t>exm843341</t>
  </si>
  <si>
    <t>exm2249078</t>
  </si>
  <si>
    <t>exm922114</t>
  </si>
  <si>
    <t>exm927605</t>
  </si>
  <si>
    <t>exm997340</t>
  </si>
  <si>
    <t>exm1033788</t>
  </si>
  <si>
    <t>exm1047255</t>
  </si>
  <si>
    <t>exm1048611</t>
  </si>
  <si>
    <t>exm1048861</t>
  </si>
  <si>
    <t>exm1049349</t>
  </si>
  <si>
    <t>exm2267663</t>
  </si>
  <si>
    <t>exm1151599</t>
  </si>
  <si>
    <t>exm1151946</t>
  </si>
  <si>
    <t>exm1164529</t>
  </si>
  <si>
    <t>exm1213379</t>
  </si>
  <si>
    <t>exm1213448</t>
  </si>
  <si>
    <t>exm1213513</t>
  </si>
  <si>
    <t>exm1248952</t>
  </si>
  <si>
    <t>exm1248977</t>
  </si>
  <si>
    <t>exm1444532</t>
  </si>
  <si>
    <t>exm1444575</t>
  </si>
  <si>
    <t>exm1488054</t>
  </si>
  <si>
    <t>exm1488109</t>
  </si>
  <si>
    <t>exm1536954</t>
  </si>
  <si>
    <t>exm1537001</t>
  </si>
  <si>
    <t>exm1543199</t>
  </si>
  <si>
    <t>Abbreviations: GRCh37=human genome assembly build 37;rsID=based on dbSNP; EAF=effect allele frequency; Beta=effect size in units based on outcome (see below) ; SE=standard error;N=sample size</t>
  </si>
  <si>
    <r>
      <t>Position (GRCh37)</t>
    </r>
    <r>
      <rPr>
        <b/>
        <vertAlign val="superscript"/>
        <sz val="11"/>
        <color theme="1"/>
        <rFont val="Calibri"/>
        <family val="2"/>
        <scheme val="minor"/>
      </rPr>
      <t>a</t>
    </r>
  </si>
  <si>
    <r>
      <t xml:space="preserve">Alleles </t>
    </r>
    <r>
      <rPr>
        <b/>
        <vertAlign val="superscript"/>
        <sz val="11"/>
        <color theme="1"/>
        <rFont val="Calibri"/>
        <family val="2"/>
        <scheme val="minor"/>
      </rPr>
      <t>b</t>
    </r>
  </si>
  <si>
    <t>Effect</t>
  </si>
  <si>
    <t xml:space="preserve">a Variant positions are reported according to Human assembly build 37 and their alleles are coded based on the positive strand.  </t>
  </si>
  <si>
    <t>b Effect allele is oriented on the WHRadjBMI increasing allele see Supplementary Tables 4,5,6.</t>
  </si>
  <si>
    <r>
      <t>Location</t>
    </r>
    <r>
      <rPr>
        <b/>
        <vertAlign val="superscript"/>
        <sz val="11"/>
        <color theme="1"/>
        <rFont val="Calibri"/>
        <family val="2"/>
        <scheme val="minor"/>
      </rPr>
      <t>a</t>
    </r>
  </si>
  <si>
    <t>Condition</t>
  </si>
  <si>
    <r>
      <t xml:space="preserve">Lipodystrophy </t>
    </r>
    <r>
      <rPr>
        <b/>
        <vertAlign val="superscript"/>
        <sz val="11"/>
        <color theme="1"/>
        <rFont val="Calibri"/>
        <family val="2"/>
        <scheme val="minor"/>
      </rPr>
      <t>b</t>
    </r>
  </si>
  <si>
    <t>Complex Insulin Resistance</t>
  </si>
  <si>
    <t>Key clinical features</t>
  </si>
  <si>
    <t>Molecular basis/other comments</t>
  </si>
  <si>
    <t>Mode of inheritance(if known)</t>
  </si>
  <si>
    <r>
      <t xml:space="preserve">Mechanism </t>
    </r>
    <r>
      <rPr>
        <b/>
        <vertAlign val="superscript"/>
        <sz val="11"/>
        <color theme="1"/>
        <rFont val="Calibri"/>
        <family val="2"/>
        <scheme val="minor"/>
      </rPr>
      <t>c</t>
    </r>
  </si>
  <si>
    <t>ABCC8</t>
  </si>
  <si>
    <t>chr11:17411432-17501449</t>
  </si>
  <si>
    <t>Ion channels</t>
  </si>
  <si>
    <t>AGPAT2</t>
  </si>
  <si>
    <t>chr9:139567594-139581911</t>
  </si>
  <si>
    <t>Berardinelli-Seip congenital lipodystrophy</t>
  </si>
  <si>
    <t>Lack of metabolically active adipose tissue since birth</t>
  </si>
  <si>
    <t>AGPATs are key enzymes required for
triglyceride and phospholipids
biosynthesis. AGPATs acylate
lysophosphatidic acid to form
phosphatidic acid. AGPAT2 is highly
expressed in adipose tissue</t>
  </si>
  <si>
    <t>Autosomal recessive</t>
  </si>
  <si>
    <t>Agarwal, A.K., Arioglu, E., De Almeida, S., Akkoc, N., Taylor, S.I., Bowcock, A.M., Barnes, R.I. and Garg, A. (2002) AGPAT2 is mutated in congenital generalized lipodystrophy linked to chromosome 9q34. Nat Genet, 31, 21-23.</t>
  </si>
  <si>
    <t>AKT2</t>
  </si>
  <si>
    <t>chr19:40736223-40791302</t>
  </si>
  <si>
    <t>Familial partial lipodystrophy (FPL)a, FPLD4</t>
  </si>
  <si>
    <t>Single family reported with loss
of sc fat from the extremities</t>
  </si>
  <si>
    <t>AKT2, also known as protein kinase B,
is involved in adipocyte differentiation
and downstream insulin
receptor signaling.</t>
  </si>
  <si>
    <t>Autosomal dominant</t>
  </si>
  <si>
    <t xml:space="preserve">Rajab, A., Heathcote, K., Joshi, S., Jeffery, S. and Patton, M. (2002) Heterogeneity for congenital generalized lipodystrophy in seventeen patients from Oman. Am J Med Genet, 110, 219-225.
Agarwal, A.K., Simha, V., Oral, E.A., Moran, S.A., Gorden, P., O'Rahilly, S., Zaidi, Z., Gurakan, F., Arslanian, S.A., Klar, A. et al. (2003) Phenotypic and genetic heterogeneity in congenital generalized lipodystrophy. J Clin Endocrinol Metab, 88, 4840-4847.
</t>
  </si>
  <si>
    <t>chr19:40733224-40794302</t>
  </si>
  <si>
    <t>syndromic</t>
  </si>
  <si>
    <t>Semple et al.,Endocr Rev. 2011 Aug;32(4):498-514, PMID: 21536711</t>
  </si>
  <si>
    <t>Severe insulin resistance/lipodystrophy</t>
  </si>
  <si>
    <t>ALMS1</t>
  </si>
  <si>
    <t>chr2:73609886-73840046</t>
  </si>
  <si>
    <t>Alstrom syndrome</t>
  </si>
  <si>
    <t>Alstrom syndrome / insulin resistance &amp; obesity</t>
  </si>
  <si>
    <t>BSCL2</t>
  </si>
  <si>
    <t>chr11:62457733-62477091</t>
  </si>
  <si>
    <t>Lack of both metabolically active
and mechanical adipose tissue
since birth, mild mental
retardation, cardiomyopathy</t>
  </si>
  <si>
    <t>BSCL2 encodes seipin, which may play
a role in fusion of small lipid droplets
and in adipocyte differentiation.</t>
  </si>
  <si>
    <t>Savage, D.B., Soos, M.A., Powlson, A., O'Rahilly, S., McFarlane, I., Halsall, D.J., Barroso, I., Thomas, E.L., Bell, J.D., Scobie, I. et al. (2004) Familial partial lipodystrophy associated with compound heterozygosity for novel mutations in the LMNA gene. Diabetologia, 47, 753-756.</t>
  </si>
  <si>
    <t>chr11:62454734-62480091</t>
  </si>
  <si>
    <t>CAV1</t>
  </si>
  <si>
    <t>chr7:116161839-116204239</t>
  </si>
  <si>
    <t>CIDEC</t>
  </si>
  <si>
    <t>chr3:9908393-9921938</t>
  </si>
  <si>
    <t>Familial partial lipodystrophy (FPL)</t>
  </si>
  <si>
    <t>Single patient with loss of sc fat
from limbs, multilocular, small
lipid droplets in adipocytes</t>
  </si>
  <si>
    <t>CIDEC is a lipid droplet associated
protein that inhibits lipolysis and
promotes formation of unilocular
lipid droplet in adipocytes.</t>
  </si>
  <si>
    <t>CISD2</t>
  </si>
  <si>
    <t>chr4:103787135-103816964</t>
  </si>
  <si>
    <t>NDM</t>
  </si>
  <si>
    <t>Endoplasmic reticulum Stress</t>
  </si>
  <si>
    <t>GATA4</t>
  </si>
  <si>
    <t>chr8:11558717-11620509</t>
  </si>
  <si>
    <t>Unpublished - presented at the EASD-SGGD 2013 by Hattersley / Ellard Group</t>
  </si>
  <si>
    <t>novel cause of PNDM reported at EASD-SGGD 2013</t>
  </si>
  <si>
    <t>GATA6</t>
  </si>
  <si>
    <t>chr18:19746404-19785491</t>
  </si>
  <si>
    <t>MODY2 NDM</t>
  </si>
  <si>
    <t>Transcription factor</t>
  </si>
  <si>
    <t>GCK</t>
  </si>
  <si>
    <t>chr7:44180870-44232022</t>
  </si>
  <si>
    <t>Glycolysis</t>
  </si>
  <si>
    <t>GLIS3</t>
  </si>
  <si>
    <t>chr9:3821128-4303035</t>
  </si>
  <si>
    <t>hyperinsulinsim</t>
  </si>
  <si>
    <t>GLUD1</t>
  </si>
  <si>
    <t>chr10:88806959-88857776</t>
  </si>
  <si>
    <t>glutamate dehydrogenase 1</t>
  </si>
  <si>
    <t>HADH</t>
  </si>
  <si>
    <t>chr4:108907870-108959331</t>
  </si>
  <si>
    <t>MODY5 NDM</t>
  </si>
  <si>
    <t>Hydroxyacyl-CoA dehydrogenase</t>
  </si>
  <si>
    <t>HNF1B</t>
  </si>
  <si>
    <t>chr17:36043434-36108096</t>
  </si>
  <si>
    <t>MODY1</t>
  </si>
  <si>
    <t>HNF4A</t>
  </si>
  <si>
    <t>chr20:42981441-43064485</t>
  </si>
  <si>
    <t>MODY10 NDM</t>
  </si>
  <si>
    <t>INS</t>
  </si>
  <si>
    <t>chr11:2178009-2185439</t>
  </si>
  <si>
    <t>Insulin biosynthesis</t>
  </si>
  <si>
    <t>INSR</t>
  </si>
  <si>
    <t>chr19:7109266-7297011</t>
  </si>
  <si>
    <t>MODY NDM</t>
  </si>
  <si>
    <t>Insulin receptor</t>
  </si>
  <si>
    <t>KCNJ11</t>
  </si>
  <si>
    <t>chr11:17403795-17413878</t>
  </si>
  <si>
    <t>LMNA</t>
  </si>
  <si>
    <t>chr1:156052336-156109880</t>
  </si>
  <si>
    <t>Familial partial lipodystrophy, type 2 (Dunnigan type)
Mandibuloacral dysplasia (MAD), Type A
Atypical progeroid syndrome
Hutchinson-Gilford progeria</t>
  </si>
  <si>
    <t>Loss of sc fat from the extremities and trunk (sparing the face and neck) at puberty 
Skeletal anomalies, loss of sc fat from the extremities and trunk
Variable loss of sc fat, progeroid features
Generalized loss of sc fat,progeroid features</t>
  </si>
  <si>
    <t>Lamins A and C are nuclear lamina proteins and specific mutations may disrupt nuclear function resulting in premature death of adipocytes.
Lamins A and C are nuclear lamina proteins and LMNA mutations may disrupt nuclear function resulting in premature cell death in many tissues.
Different heterozygous mostly de novo mutations in LMNA cause nuclear dysfunction.
Specific de novo LMNA mutations induce abnormal splicing and accumulation of truncated farnesylated prelamin A.</t>
  </si>
  <si>
    <t>Autosomal dominant
Autosomal recessive
Autosomal dominant
Autosomal dominant</t>
  </si>
  <si>
    <t>chr1:156049369-156112880</t>
  </si>
  <si>
    <t>MNX1</t>
  </si>
  <si>
    <t>chr7:156794547-156806347</t>
  </si>
  <si>
    <t>MODY6 NDM</t>
  </si>
  <si>
    <t>http://www.ncbi.nlm.nih.gov/pubmed/23562494</t>
  </si>
  <si>
    <t>NEUROD1</t>
  </si>
  <si>
    <t>chr2:182537833-182548392</t>
  </si>
  <si>
    <t>NEUROG3</t>
  </si>
  <si>
    <t>chr10:71328791-71336210</t>
  </si>
  <si>
    <t>MODY4 NDM</t>
  </si>
  <si>
    <t>PDX1</t>
  </si>
  <si>
    <t>chr13:28491168-28503451</t>
  </si>
  <si>
    <t>PIK3CA</t>
  </si>
  <si>
    <t>chr3:178863311-178955500</t>
  </si>
  <si>
    <t>PIK3R1</t>
  </si>
  <si>
    <t>chr5:67508584-67600649</t>
  </si>
  <si>
    <t>Kishan Kumar Chudasama, Pl Njolstad et al., AJHG, June 2013</t>
  </si>
  <si>
    <t>PLIN</t>
  </si>
  <si>
    <t>chr15:90204598-90225648</t>
  </si>
  <si>
    <t>PLIN1</t>
  </si>
  <si>
    <t>chr15:90207599-90222648</t>
  </si>
  <si>
    <t>Familial partial lipodystrophy (FPL)a, FPLD5</t>
  </si>
  <si>
    <t>Loss of sc fat from the
extremities with small
adipocytes and increased
fibrosis of adipose tissue</t>
  </si>
  <si>
    <t>Perilipin 1 is an integral component of
lipid droplet membranes and is essential for lipid storage and
hormone regulated lipolysis.</t>
  </si>
  <si>
    <t>POLD1</t>
  </si>
  <si>
    <t>chr19:50884580-50924275</t>
  </si>
  <si>
    <t>Weedon et al Nature Genetics 2013</t>
  </si>
  <si>
    <t>PPARG</t>
  </si>
  <si>
    <t>chr3:12329348-12475855</t>
  </si>
  <si>
    <t>Familial partial lipodystrophy, Dunnigan, type 3</t>
  </si>
  <si>
    <t>Loss of sc fat from the
extremities, especially from
distal regions</t>
  </si>
  <si>
    <t>PPAR  is a critical transcription factor
required for adipogenesis. Dominant
negative PPAR  mutations may
inhibit adipocyte differentiation.</t>
  </si>
  <si>
    <t>chr3:12326349-12478855</t>
  </si>
  <si>
    <t>PPP1R3</t>
  </si>
  <si>
    <t>chr7:113513882-113562082</t>
  </si>
  <si>
    <t>PTEN</t>
  </si>
  <si>
    <t>chr10:89620195-89731532</t>
  </si>
  <si>
    <t>Pal et al NEJM 2012</t>
  </si>
  <si>
    <t>Insulin sensitivity and obesity</t>
  </si>
  <si>
    <t>PTF1A</t>
  </si>
  <si>
    <t>chr10:23478460-23486181</t>
  </si>
  <si>
    <t>PTRF</t>
  </si>
  <si>
    <t>chr17:40554466-40575338</t>
  </si>
  <si>
    <t>Congenital generalized lipodystrophy (CGL)a</t>
  </si>
  <si>
    <t>Extreme lack of body fat,
congenital myopathy, pyloric
stenosis, and cardiomyopathy</t>
  </si>
  <si>
    <t>PTRF (also known as cavin) is involved
in biogenesis of caveolae and
regulates expression of caveolins 1 and 3.</t>
  </si>
  <si>
    <t>chr17:40551467-40578338</t>
  </si>
  <si>
    <t>RFX6</t>
  </si>
  <si>
    <t>chr6:117195376-117256326</t>
  </si>
  <si>
    <t>SLC16A1</t>
  </si>
  <si>
    <t>chr1:113451469-113501975</t>
  </si>
  <si>
    <t>lactate and pyruvate transport</t>
  </si>
  <si>
    <t>SLC2A2</t>
  </si>
  <si>
    <t>chr3:170711137-170747768</t>
  </si>
  <si>
    <t>Glucose transport</t>
  </si>
  <si>
    <t>UCP2</t>
  </si>
  <si>
    <t>chr11:73682716-73696889</t>
  </si>
  <si>
    <t>mitochondrial metabolism</t>
  </si>
  <si>
    <t>WFS1</t>
  </si>
  <si>
    <t>chr4:6268577-6307992</t>
  </si>
  <si>
    <t>ZMPSTE24</t>
  </si>
  <si>
    <t>chr1:40720722-40762856</t>
  </si>
  <si>
    <t>Abbreviations: NDM=neonatal diabetes mellitus; MODY=maturity-onset diabetes of the young;</t>
  </si>
  <si>
    <t xml:space="preserve">a Chromosome: position start - positions top for the gene according to Human genome assembly build 37.  </t>
  </si>
  <si>
    <t>b Lipodystrophy is part of the condition from this gene variation</t>
  </si>
  <si>
    <t>c Mechanism by which variation in the gene results in obesity.</t>
  </si>
  <si>
    <t>Selected Based on P-value</t>
  </si>
  <si>
    <t>All SNPs</t>
  </si>
  <si>
    <t>Independent SNPs</t>
  </si>
  <si>
    <t>P-value
Threshold</t>
  </si>
  <si>
    <r>
      <t xml:space="preserve"># SNPs </t>
    </r>
    <r>
      <rPr>
        <b/>
        <vertAlign val="superscript"/>
        <sz val="11"/>
        <color theme="1"/>
        <rFont val="Calibri"/>
        <family val="2"/>
        <scheme val="minor"/>
      </rPr>
      <t>b</t>
    </r>
  </si>
  <si>
    <t>Difference in Variance
(Men - Women)</t>
  </si>
  <si>
    <t>Error in the Difference</t>
  </si>
  <si>
    <r>
      <t>P</t>
    </r>
    <r>
      <rPr>
        <b/>
        <vertAlign val="subscript"/>
        <sz val="11"/>
        <color theme="1"/>
        <rFont val="Calibri"/>
        <family val="2"/>
        <scheme val="minor"/>
      </rPr>
      <t xml:space="preserve">diff </t>
    </r>
    <r>
      <rPr>
        <b/>
        <vertAlign val="superscript"/>
        <sz val="11"/>
        <color theme="1"/>
        <rFont val="Calibri"/>
        <family val="2"/>
        <scheme val="minor"/>
      </rPr>
      <t>c</t>
    </r>
  </si>
  <si>
    <t>Variance</t>
  </si>
  <si>
    <t>Variance Error</t>
  </si>
  <si>
    <t>Selected Based on MAF</t>
  </si>
  <si>
    <t>MAF Threshold</t>
  </si>
  <si>
    <r>
      <t xml:space="preserve">a The variance explained was estimated using a method previously reported by </t>
    </r>
    <r>
      <rPr>
        <sz val="10"/>
        <color theme="1"/>
        <rFont val="Calibri"/>
        <family val="2"/>
        <scheme val="minor"/>
      </rPr>
      <t xml:space="preserve">Kutalik  et al.  We selected subsets </t>
    </r>
    <r>
      <rPr>
        <sz val="10"/>
        <color rgb="FF000000"/>
        <rFont val="Calibri"/>
        <family val="2"/>
        <scheme val="minor"/>
      </rPr>
      <t>of SNPs that were based on varying thresholds of the P-value from 2x10-7 to 0.02 or minor allele frequency (MAF) thresholds from 0.0025 to 0.05. Each subset of SNPs was used together or clumped into independent regions using a physical distance criterion &lt;500kb and the most significant lead SNP within the respective region was selected.  Results are based on the All Ancestry analyses.</t>
    </r>
  </si>
  <si>
    <r>
      <t xml:space="preserve"> Kutalik, Z., et al., </t>
    </r>
    <r>
      <rPr>
        <i/>
        <sz val="10"/>
        <color theme="1"/>
        <rFont val="Calibri"/>
        <family val="2"/>
        <scheme val="minor"/>
      </rPr>
      <t xml:space="preserve">Novel method to estimate the phenotypic variation explained by genome-wide association studies reveals large fraction of the missing heritability. </t>
    </r>
    <r>
      <rPr>
        <sz val="10"/>
        <color theme="1"/>
        <rFont val="Calibri"/>
        <family val="2"/>
        <scheme val="minor"/>
      </rPr>
      <t xml:space="preserve">Genet Epidemiol, 2011. </t>
    </r>
    <r>
      <rPr>
        <b/>
        <sz val="10"/>
        <color theme="1"/>
        <rFont val="Calibri"/>
        <family val="2"/>
        <scheme val="minor"/>
      </rPr>
      <t>35</t>
    </r>
    <r>
      <rPr>
        <sz val="10"/>
        <color theme="1"/>
        <rFont val="Calibri"/>
        <family val="2"/>
        <scheme val="minor"/>
      </rPr>
      <t>(5): p. 341-9.</t>
    </r>
  </si>
  <si>
    <t>b The number of SNPs that meet the P-value or MAF threshold used to estimate the variance explained.</t>
  </si>
  <si>
    <t>c P-value for the difference in the variance explained by the SNPs for men versus women.</t>
  </si>
  <si>
    <r>
      <t>Gene</t>
    </r>
    <r>
      <rPr>
        <b/>
        <vertAlign val="superscript"/>
        <sz val="11"/>
        <color theme="1"/>
        <rFont val="Calibri"/>
        <family val="2"/>
        <scheme val="minor"/>
      </rPr>
      <t>a</t>
    </r>
  </si>
  <si>
    <r>
      <t>Pos (GRCh37)</t>
    </r>
    <r>
      <rPr>
        <b/>
        <vertAlign val="superscript"/>
        <sz val="11"/>
        <color theme="1"/>
        <rFont val="Calibri"/>
        <family val="2"/>
        <scheme val="minor"/>
      </rPr>
      <t>b</t>
    </r>
  </si>
  <si>
    <t>Minor/Major allele</t>
  </si>
  <si>
    <r>
      <t>Amino acid change</t>
    </r>
    <r>
      <rPr>
        <b/>
        <vertAlign val="superscript"/>
        <sz val="11"/>
        <color theme="1"/>
        <rFont val="Calibri"/>
        <family val="2"/>
        <scheme val="minor"/>
      </rPr>
      <t>a</t>
    </r>
  </si>
  <si>
    <t xml:space="preserve"> Gender</t>
  </si>
  <si>
    <r>
      <t xml:space="preserve">Discovery GIANT meta-analysis - All Ancestries </t>
    </r>
    <r>
      <rPr>
        <b/>
        <vertAlign val="superscript"/>
        <sz val="11"/>
        <color theme="1"/>
        <rFont val="Calibri"/>
        <family val="2"/>
        <scheme val="minor"/>
      </rPr>
      <t>c</t>
    </r>
  </si>
  <si>
    <r>
      <t xml:space="preserve">Results from the UKBB dataset </t>
    </r>
    <r>
      <rPr>
        <b/>
        <vertAlign val="superscript"/>
        <sz val="11"/>
        <color theme="1"/>
        <rFont val="Calibri"/>
        <family val="2"/>
        <scheme val="minor"/>
      </rPr>
      <t>c</t>
    </r>
  </si>
  <si>
    <r>
      <t>Obesity and central adiposity class</t>
    </r>
    <r>
      <rPr>
        <b/>
        <vertAlign val="superscript"/>
        <sz val="11"/>
        <color theme="1"/>
        <rFont val="Calibri"/>
        <family val="2"/>
        <scheme val="minor"/>
      </rPr>
      <t>e</t>
    </r>
  </si>
  <si>
    <t>Observed Values by class</t>
  </si>
  <si>
    <t>Expected Values by class</t>
  </si>
  <si>
    <t>TOTAL</t>
  </si>
  <si>
    <r>
      <t>ChiSquare P-value</t>
    </r>
    <r>
      <rPr>
        <b/>
        <vertAlign val="superscript"/>
        <sz val="11"/>
        <color theme="1"/>
        <rFont val="Calibri"/>
        <family val="2"/>
        <scheme val="minor"/>
      </rPr>
      <t>f</t>
    </r>
  </si>
  <si>
    <t>Minor Allele Frequency</t>
  </si>
  <si>
    <t>Obesity class</t>
  </si>
  <si>
    <t>WHR threshold</t>
  </si>
  <si>
    <t>Minor allele frequency by class</t>
  </si>
  <si>
    <t>Carrier count</t>
  </si>
  <si>
    <t>Carrier proportions</t>
  </si>
  <si>
    <t>Non-carrier count</t>
  </si>
  <si>
    <t>Non-carrier proportions</t>
  </si>
  <si>
    <t>ALL</t>
  </si>
  <si>
    <t>non-obese</t>
  </si>
  <si>
    <t>&lt;=0.85 Women, &lt;=0.90 Men</t>
  </si>
  <si>
    <t>obese</t>
  </si>
  <si>
    <t>&gt;0.85 Women, &gt;0.90 Men</t>
  </si>
  <si>
    <t>WOMEN</t>
  </si>
  <si>
    <t>&lt;=0.85</t>
  </si>
  <si>
    <t>&gt;0.85</t>
  </si>
  <si>
    <t>MEN</t>
  </si>
  <si>
    <t>&lt;=0.90</t>
  </si>
  <si>
    <t>&gt;0.90</t>
  </si>
  <si>
    <t>T/G</t>
  </si>
  <si>
    <t>Abbreviations: GRCh37=human genome assembly build 37;rsID=based on dbSNP;SD=standard deviation; SE=standard error;N=sample size</t>
  </si>
  <si>
    <t>a The gene the variant falls in and amino acid change from the most abundant coding transcript is shown (protein annotation is based on VEP toolset and transcript abundance from GTEx database).</t>
  </si>
  <si>
    <t>c Association results per minor allele from the discovery GIANT all ancestries sample in the sex-combined and sex stratified models. Similarly the assocation results are also shown for the UKBB European sample, which was used for the penetrance analysis, in the sex-combined and sex stratified models.</t>
  </si>
  <si>
    <t>d Effect size is based on standard deviation (SD) per minor allele</t>
  </si>
  <si>
    <t xml:space="preserve">e The UKBB sample was divided by obesity classification (BMI&lt;30:non-obese or BMI&gt;=30:obese) and central adiposity (WHR&lt;=0.85 for women and &lt;=0.90 for men: no central adiposity or WHR&gt;0.85 for women and &gt;0.90 for men: has central adiposity) </t>
  </si>
  <si>
    <t>Human GeneID</t>
  </si>
  <si>
    <t>Fly GeneID</t>
  </si>
  <si>
    <r>
      <t xml:space="preserve">Fly CG number </t>
    </r>
    <r>
      <rPr>
        <b/>
        <vertAlign val="superscript"/>
        <sz val="10"/>
        <color theme="1"/>
        <rFont val="Calibri"/>
        <family val="2"/>
        <scheme val="minor"/>
      </rPr>
      <t>a</t>
    </r>
  </si>
  <si>
    <t>mean TG/weight</t>
  </si>
  <si>
    <t>P value</t>
  </si>
  <si>
    <r>
      <t xml:space="preserve"># Replicates </t>
    </r>
    <r>
      <rPr>
        <b/>
        <vertAlign val="superscript"/>
        <sz val="10"/>
        <color theme="1"/>
        <rFont val="Calibri"/>
        <family val="2"/>
        <scheme val="minor"/>
      </rPr>
      <t>b</t>
    </r>
  </si>
  <si>
    <t>ELAV Driver</t>
  </si>
  <si>
    <t xml:space="preserve"> PlexB </t>
  </si>
  <si>
    <t>CG17245</t>
  </si>
  <si>
    <t>Dhc98D</t>
  </si>
  <si>
    <t>CG1842</t>
  </si>
  <si>
    <t>CG driver</t>
  </si>
  <si>
    <t>a Drospohila annotation IDs for protein-coding genes.</t>
  </si>
  <si>
    <r>
      <t xml:space="preserve">Exome index variant </t>
    </r>
    <r>
      <rPr>
        <b/>
        <vertAlign val="superscript"/>
        <sz val="11"/>
        <color theme="1"/>
        <rFont val="Calibri"/>
        <family val="2"/>
        <scheme val="minor"/>
      </rPr>
      <t>e</t>
    </r>
  </si>
  <si>
    <r>
      <t xml:space="preserve">GWAS index variant </t>
    </r>
    <r>
      <rPr>
        <b/>
        <vertAlign val="superscript"/>
        <sz val="11"/>
        <color theme="1"/>
        <rFont val="Calibri"/>
        <family val="2"/>
        <scheme val="minor"/>
      </rPr>
      <t>f</t>
    </r>
  </si>
  <si>
    <r>
      <t xml:space="preserve">Lead eSNP </t>
    </r>
    <r>
      <rPr>
        <b/>
        <vertAlign val="superscript"/>
        <sz val="11"/>
        <color theme="1"/>
        <rFont val="Calibri"/>
        <family val="2"/>
        <scheme val="minor"/>
      </rPr>
      <t>g</t>
    </r>
  </si>
  <si>
    <r>
      <t>eSNP conditioned on  exome SNP</t>
    </r>
    <r>
      <rPr>
        <b/>
        <vertAlign val="superscript"/>
        <sz val="11"/>
        <color theme="1"/>
        <rFont val="Calibri"/>
        <family val="2"/>
        <scheme val="minor"/>
      </rPr>
      <t xml:space="preserve"> h</t>
    </r>
  </si>
  <si>
    <t>exome/eSNP</t>
  </si>
  <si>
    <r>
      <t xml:space="preserve">eSNP conditioned on GWAS SNP </t>
    </r>
    <r>
      <rPr>
        <b/>
        <vertAlign val="superscript"/>
        <sz val="11"/>
        <color theme="1"/>
        <rFont val="Calibri"/>
        <family val="2"/>
        <scheme val="minor"/>
      </rPr>
      <t>i</t>
    </r>
  </si>
  <si>
    <t>GWAS SNP/eSNP</t>
  </si>
  <si>
    <t>Pairwise LD</t>
  </si>
  <si>
    <r>
      <t xml:space="preserve">Amino Acid Change </t>
    </r>
    <r>
      <rPr>
        <b/>
        <vertAlign val="superscript"/>
        <sz val="11"/>
        <color theme="1"/>
        <rFont val="Calibri"/>
        <family val="2"/>
        <scheme val="minor"/>
      </rPr>
      <t>c</t>
    </r>
  </si>
  <si>
    <t>eQTL gene</t>
  </si>
  <si>
    <r>
      <t xml:space="preserve">Allele </t>
    </r>
    <r>
      <rPr>
        <b/>
        <vertAlign val="superscript"/>
        <sz val="11"/>
        <color theme="1"/>
        <rFont val="Calibri"/>
        <family val="2"/>
        <scheme val="minor"/>
      </rPr>
      <t>d</t>
    </r>
  </si>
  <si>
    <r>
      <t xml:space="preserve">Beta </t>
    </r>
    <r>
      <rPr>
        <b/>
        <vertAlign val="subscript"/>
        <sz val="11"/>
        <rFont val="Calibri"/>
        <family val="2"/>
        <scheme val="minor"/>
      </rPr>
      <t>initial</t>
    </r>
  </si>
  <si>
    <r>
      <t xml:space="preserve">P </t>
    </r>
    <r>
      <rPr>
        <b/>
        <vertAlign val="subscript"/>
        <sz val="11"/>
        <rFont val="Calibri"/>
        <family val="2"/>
        <scheme val="minor"/>
      </rPr>
      <t>initial</t>
    </r>
  </si>
  <si>
    <r>
      <t xml:space="preserve">Beta </t>
    </r>
    <r>
      <rPr>
        <b/>
        <vertAlign val="subscript"/>
        <sz val="11"/>
        <rFont val="Calibri"/>
        <family val="2"/>
        <scheme val="minor"/>
      </rPr>
      <t xml:space="preserve">cond </t>
    </r>
    <r>
      <rPr>
        <b/>
        <vertAlign val="superscript"/>
        <sz val="11"/>
        <rFont val="Calibri"/>
        <family val="2"/>
        <scheme val="minor"/>
      </rPr>
      <t>eSNP</t>
    </r>
  </si>
  <si>
    <r>
      <t xml:space="preserve">P </t>
    </r>
    <r>
      <rPr>
        <b/>
        <vertAlign val="subscript"/>
        <sz val="11"/>
        <rFont val="Calibri"/>
        <family val="2"/>
        <scheme val="minor"/>
      </rPr>
      <t xml:space="preserve">cond </t>
    </r>
    <r>
      <rPr>
        <b/>
        <vertAlign val="superscript"/>
        <sz val="11"/>
        <rFont val="Calibri"/>
        <family val="2"/>
        <scheme val="minor"/>
      </rPr>
      <t>eSNP</t>
    </r>
  </si>
  <si>
    <t>Chr:Position (build37)</t>
  </si>
  <si>
    <t>allele</t>
  </si>
  <si>
    <r>
      <t xml:space="preserve">Beta </t>
    </r>
    <r>
      <rPr>
        <b/>
        <vertAlign val="subscript"/>
        <sz val="11"/>
        <rFont val="Calibri"/>
        <family val="2"/>
        <scheme val="minor"/>
      </rPr>
      <t xml:space="preserve">cond </t>
    </r>
    <r>
      <rPr>
        <b/>
        <vertAlign val="superscript"/>
        <sz val="11"/>
        <rFont val="Calibri"/>
        <family val="2"/>
        <scheme val="minor"/>
      </rPr>
      <t>exome</t>
    </r>
  </si>
  <si>
    <r>
      <t xml:space="preserve">P </t>
    </r>
    <r>
      <rPr>
        <b/>
        <vertAlign val="subscript"/>
        <sz val="11"/>
        <rFont val="Calibri"/>
        <family val="2"/>
        <scheme val="minor"/>
      </rPr>
      <t xml:space="preserve">cond </t>
    </r>
    <r>
      <rPr>
        <b/>
        <vertAlign val="superscript"/>
        <sz val="11"/>
        <rFont val="Calibri"/>
        <family val="2"/>
        <scheme val="minor"/>
      </rPr>
      <t>exome</t>
    </r>
  </si>
  <si>
    <r>
      <t>r</t>
    </r>
    <r>
      <rPr>
        <b/>
        <i/>
        <vertAlign val="superscript"/>
        <sz val="11"/>
        <rFont val="Calibri"/>
        <family val="2"/>
        <scheme val="minor"/>
      </rPr>
      <t>2</t>
    </r>
  </si>
  <si>
    <t>D'</t>
  </si>
  <si>
    <r>
      <t xml:space="preserve">Beta </t>
    </r>
    <r>
      <rPr>
        <b/>
        <vertAlign val="subscript"/>
        <sz val="11"/>
        <rFont val="Calibri"/>
        <family val="2"/>
        <scheme val="minor"/>
      </rPr>
      <t xml:space="preserve">cond </t>
    </r>
    <r>
      <rPr>
        <b/>
        <vertAlign val="superscript"/>
        <sz val="11"/>
        <rFont val="Calibri"/>
        <family val="2"/>
        <scheme val="minor"/>
      </rPr>
      <t>GWAS</t>
    </r>
  </si>
  <si>
    <r>
      <t xml:space="preserve">P </t>
    </r>
    <r>
      <rPr>
        <b/>
        <vertAlign val="subscript"/>
        <sz val="11"/>
        <rFont val="Calibri"/>
        <family val="2"/>
        <scheme val="minor"/>
      </rPr>
      <t xml:space="preserve">cond </t>
    </r>
    <r>
      <rPr>
        <b/>
        <vertAlign val="superscript"/>
        <sz val="11"/>
        <rFont val="Calibri"/>
        <family val="2"/>
        <scheme val="minor"/>
      </rPr>
      <t>GWAS</t>
    </r>
  </si>
  <si>
    <t>WARS2</t>
  </si>
  <si>
    <t>1:119600175</t>
  </si>
  <si>
    <t>rs146862216</t>
  </si>
  <si>
    <t>2:165577164</t>
  </si>
  <si>
    <t>rs10221833</t>
  </si>
  <si>
    <t>GRB14</t>
  </si>
  <si>
    <t>2:165513091</t>
  </si>
  <si>
    <t>2:165419009</t>
  </si>
  <si>
    <t>rs1474249</t>
  </si>
  <si>
    <t>CALCRL</t>
  </si>
  <si>
    <t>2:188115398</t>
  </si>
  <si>
    <t>2:188064718</t>
  </si>
  <si>
    <t>rs4233794</t>
  </si>
  <si>
    <t>MANF</t>
  </si>
  <si>
    <t>3:51432895</t>
  </si>
  <si>
    <t>rs4687569</t>
  </si>
  <si>
    <t>MAPKAPK3</t>
  </si>
  <si>
    <t>3:50731408</t>
  </si>
  <si>
    <t>rs28412709</t>
  </si>
  <si>
    <t>HEMK1</t>
  </si>
  <si>
    <t>3:50591727</t>
  </si>
  <si>
    <t>rs11130252</t>
  </si>
  <si>
    <t>RBM6</t>
  </si>
  <si>
    <t>3:50018585</t>
  </si>
  <si>
    <t>rs11130233</t>
  </si>
  <si>
    <t>GNL3</t>
  </si>
  <si>
    <t>3:52637486</t>
  </si>
  <si>
    <t>3:52687566</t>
  </si>
  <si>
    <t>rs7612511</t>
  </si>
  <si>
    <t>NEK4</t>
  </si>
  <si>
    <t>3:52752959</t>
  </si>
  <si>
    <t>rs35212380</t>
  </si>
  <si>
    <t>SMIM4</t>
  </si>
  <si>
    <t>3:52568805</t>
  </si>
  <si>
    <t>rs7639267</t>
  </si>
  <si>
    <t>ITIH4</t>
  </si>
  <si>
    <t>3:52855229</t>
  </si>
  <si>
    <t>rs2239547</t>
  </si>
  <si>
    <t>ALAS1</t>
  </si>
  <si>
    <t>3:52236077</t>
  </si>
  <si>
    <t>rs352170</t>
  </si>
  <si>
    <t>NT5DC2</t>
  </si>
  <si>
    <t>3:52565100</t>
  </si>
  <si>
    <t>rs6778735</t>
  </si>
  <si>
    <t>WDR82</t>
  </si>
  <si>
    <t>3:52833219</t>
  </si>
  <si>
    <t>rs2535629</t>
  </si>
  <si>
    <t>C3orf78</t>
  </si>
  <si>
    <t>PPM1M</t>
  </si>
  <si>
    <t>3:52450043</t>
  </si>
  <si>
    <t>rs13094687</t>
  </si>
  <si>
    <t>SYNPO2</t>
  </si>
  <si>
    <t>4:119947135</t>
  </si>
  <si>
    <t>rs6828669</t>
  </si>
  <si>
    <t>USP53</t>
  </si>
  <si>
    <t>4:120034859</t>
  </si>
  <si>
    <t>rs10518310</t>
  </si>
  <si>
    <t>4:89713121</t>
  </si>
  <si>
    <t>4:89677537</t>
  </si>
  <si>
    <t>rs1965869</t>
  </si>
  <si>
    <t>6:127454893</t>
  </si>
  <si>
    <t>6:127524398</t>
  </si>
  <si>
    <t>rs72961007</t>
  </si>
  <si>
    <t>6:127435595</t>
  </si>
  <si>
    <t>6:127776240</t>
  </si>
  <si>
    <t>rs12193260</t>
  </si>
  <si>
    <t>6:34760736</t>
  </si>
  <si>
    <t>rs11757370</t>
  </si>
  <si>
    <t>C6orf106</t>
  </si>
  <si>
    <t>6:35133074</t>
  </si>
  <si>
    <t>rs3800406</t>
  </si>
  <si>
    <t>SNRPC</t>
  </si>
  <si>
    <t>6:34611001</t>
  </si>
  <si>
    <t>rs9469835</t>
  </si>
  <si>
    <t>SSR1</t>
  </si>
  <si>
    <t>6:7269423</t>
  </si>
  <si>
    <t>rs76831056</t>
  </si>
  <si>
    <t>RAC1</t>
  </si>
  <si>
    <t>7:6438217</t>
  </si>
  <si>
    <t>rs35761891</t>
  </si>
  <si>
    <t>7:6461310</t>
  </si>
  <si>
    <t>rs79949326</t>
  </si>
  <si>
    <t>7:72885810</t>
  </si>
  <si>
    <t>7:73039406</t>
  </si>
  <si>
    <t>rs35493868</t>
  </si>
  <si>
    <t>TBL2</t>
  </si>
  <si>
    <t>7:72856269</t>
  </si>
  <si>
    <t>rs2240466</t>
  </si>
  <si>
    <t>BCL7B</t>
  </si>
  <si>
    <t>7:73051932</t>
  </si>
  <si>
    <t>rs799166</t>
  </si>
  <si>
    <t>PRDX5</t>
  </si>
  <si>
    <t>11:64046029</t>
  </si>
  <si>
    <t>rs671976</t>
  </si>
  <si>
    <t>VEGFB</t>
  </si>
  <si>
    <t>11:63862612</t>
  </si>
  <si>
    <t>11:64004723</t>
  </si>
  <si>
    <t>rs56271783</t>
  </si>
  <si>
    <t>TRMT112</t>
  </si>
  <si>
    <t>11:64105454</t>
  </si>
  <si>
    <t>rs79423518</t>
  </si>
  <si>
    <t>RBM14</t>
  </si>
  <si>
    <t>11:66381517</t>
  </si>
  <si>
    <t>rs12795774</t>
  </si>
  <si>
    <t>RNASEH2C</t>
  </si>
  <si>
    <t>11:65438345</t>
  </si>
  <si>
    <t>rs11227250</t>
  </si>
  <si>
    <t>ATP6V0A2</t>
  </si>
  <si>
    <t>12:124213409</t>
  </si>
  <si>
    <t>rs10734907</t>
  </si>
  <si>
    <t>ZNF664</t>
  </si>
  <si>
    <t>12:124510391</t>
  </si>
  <si>
    <t>rs10773051</t>
  </si>
  <si>
    <t>12:124440110</t>
  </si>
  <si>
    <t>12:124520331</t>
  </si>
  <si>
    <t>rs1716409</t>
  </si>
  <si>
    <t>CDK2AP1</t>
  </si>
  <si>
    <t>T/A</t>
  </si>
  <si>
    <t>12:123863620</t>
  </si>
  <si>
    <t>rs28583837</t>
  </si>
  <si>
    <t>EHD4</t>
  </si>
  <si>
    <t>15:42204258</t>
  </si>
  <si>
    <t>rs1704391</t>
  </si>
  <si>
    <t>RPAP1</t>
  </si>
  <si>
    <t>15:41817662</t>
  </si>
  <si>
    <t>rs7178957</t>
  </si>
  <si>
    <t>JMJD7</t>
  </si>
  <si>
    <t>15:42100674</t>
  </si>
  <si>
    <t>rs7175346</t>
  </si>
  <si>
    <t>15:42136977</t>
  </si>
  <si>
    <t>rs2305654</t>
  </si>
  <si>
    <t>NDUFAF1</t>
  </si>
  <si>
    <t>15:41687824</t>
  </si>
  <si>
    <t>rs113967548</t>
  </si>
  <si>
    <t>NMRAL1</t>
  </si>
  <si>
    <t>16:4525265</t>
  </si>
  <si>
    <t>rs4786500</t>
  </si>
  <si>
    <t>C16orf5</t>
  </si>
  <si>
    <t>16:4562512</t>
  </si>
  <si>
    <t>rs7665</t>
  </si>
  <si>
    <t>16:4487486</t>
  </si>
  <si>
    <t>rs1062706</t>
  </si>
  <si>
    <t>HMOX2</t>
  </si>
  <si>
    <t>16:4535307</t>
  </si>
  <si>
    <t>rs4785968</t>
  </si>
  <si>
    <t>16:4584406</t>
  </si>
  <si>
    <t>rs4786519</t>
  </si>
  <si>
    <t>rs4785963</t>
  </si>
  <si>
    <t>SLC12A4</t>
  </si>
  <si>
    <t>16:67549746</t>
  </si>
  <si>
    <t>rs2089402</t>
  </si>
  <si>
    <t>16:67554340</t>
  </si>
  <si>
    <t>rs11867039</t>
  </si>
  <si>
    <t>CTCF</t>
  </si>
  <si>
    <t>16:67669455</t>
  </si>
  <si>
    <t>rs117447021</t>
  </si>
  <si>
    <t>ATP6V0D1</t>
  </si>
  <si>
    <t>16:67515312</t>
  </si>
  <si>
    <t>rs13338993</t>
  </si>
  <si>
    <t>CCDC124</t>
  </si>
  <si>
    <t>19:18055491</t>
  </si>
  <si>
    <t>rs12980843</t>
  </si>
  <si>
    <t>EMP3</t>
  </si>
  <si>
    <t>19:48833806</t>
  </si>
  <si>
    <t>rs11665</t>
  </si>
  <si>
    <t>EDEM2</t>
  </si>
  <si>
    <t>20:34023962</t>
  </si>
  <si>
    <t>20:33719183</t>
  </si>
  <si>
    <t>rs3746428</t>
  </si>
  <si>
    <t>EPB41L1</t>
  </si>
  <si>
    <t>20:34775551</t>
  </si>
  <si>
    <t>rs2247688</t>
  </si>
  <si>
    <t>EIF6</t>
  </si>
  <si>
    <t>20:33883015</t>
  </si>
  <si>
    <t>rs7272884</t>
  </si>
  <si>
    <t>PROCR</t>
  </si>
  <si>
    <t>20:33746789</t>
  </si>
  <si>
    <t>rs144917890</t>
  </si>
  <si>
    <t>CPNE1</t>
  </si>
  <si>
    <t>20:34199977</t>
  </si>
  <si>
    <t>rs143646210</t>
  </si>
  <si>
    <t>20:33903636</t>
  </si>
  <si>
    <t>rs2425055</t>
  </si>
  <si>
    <t>17:17420199</t>
  </si>
  <si>
    <t>17:17439793</t>
  </si>
  <si>
    <t>rs936108</t>
  </si>
  <si>
    <t>SREBF1</t>
  </si>
  <si>
    <t>17:17716531</t>
  </si>
  <si>
    <t>rs12941356</t>
  </si>
  <si>
    <t>ACTR10</t>
  </si>
  <si>
    <t>14:58671059</t>
  </si>
  <si>
    <t>rs1190824</t>
  </si>
  <si>
    <t>MRPL52</t>
  </si>
  <si>
    <t>14:23304254</t>
  </si>
  <si>
    <t>rs17886536</t>
  </si>
  <si>
    <t>PIK3C2B</t>
  </si>
  <si>
    <t>1:204423811</t>
  </si>
  <si>
    <t>rs61762608</t>
  </si>
  <si>
    <t>MARCH2</t>
  </si>
  <si>
    <t>19:8503621</t>
  </si>
  <si>
    <t>rs1055554</t>
  </si>
  <si>
    <t>MYO1F</t>
  </si>
  <si>
    <t>19:8615589</t>
  </si>
  <si>
    <t>rs4804311</t>
  </si>
  <si>
    <r>
      <t xml:space="preserve">20:33971914 </t>
    </r>
    <r>
      <rPr>
        <b/>
        <vertAlign val="superscript"/>
        <sz val="11"/>
        <color theme="1"/>
        <rFont val="Calibri"/>
        <family val="2"/>
        <scheme val="minor"/>
      </rPr>
      <t>d</t>
    </r>
  </si>
  <si>
    <t>Abbreviations: GRCh37=human genome assembly build 37;VEP=Ensembl Variant Effect Predictor toolset; GTEx=Genotype-Tissue Expression project;SD=standard deviation; SE=standard error;N=sample size</t>
  </si>
  <si>
    <r>
      <t xml:space="preserve">This table is sorted by chr:pos (build 37) of the exome variant within each model and analysis. Shown in red, bold font are LD </t>
    </r>
    <r>
      <rPr>
        <i/>
        <sz val="11"/>
        <color theme="1"/>
        <rFont val="Calibri"/>
        <family val="2"/>
        <scheme val="minor"/>
      </rPr>
      <t>r</t>
    </r>
    <r>
      <rPr>
        <i/>
        <vertAlign val="superscript"/>
        <sz val="11"/>
        <color theme="1"/>
        <rFont val="Calibri"/>
        <family val="2"/>
        <scheme val="minor"/>
      </rPr>
      <t>2</t>
    </r>
    <r>
      <rPr>
        <sz val="11"/>
        <color theme="1"/>
        <rFont val="Calibri"/>
        <family val="2"/>
        <scheme val="minor"/>
      </rPr>
      <t xml:space="preserve"> values &gt; 0.80. Bolded lines may represent coincident results.</t>
    </r>
  </si>
  <si>
    <t xml:space="preserve">d Alleles are presented as non-effect/effect with regard to cis-eQTL dataset. </t>
  </si>
  <si>
    <t>e Exome variant in the header refers to the exome variant from the exomechip Meta-analysis results (See Tables 1 and 2). The alleles, MAF and beta/pvalues all refer the cis-eQTL dataset. The betas and pvalues are conditioned on the lead eQTL variant (eSNP).  The initial beta and p-value refer to the cis-eQTL results from the original data.  The conditioned beta and p-value refer to the cis-eQTL results when the noted SNP is included as a covariate in the eQTL detection.</t>
  </si>
  <si>
    <t>f GWAS variant in the header refers to the GWAS variant for each locus. The alleles and beta/pvalues all refer the cis-eQTL dataset. The betas and pvalues are conditioned on the lead eQTL variant (eSNP).  The initial beta and p-value refer to the cis-eQTL results from the original data.  The conditioned beta and p-value refer to the cis-eQTL results when the noted SNP is included as a covariate in the eQTL detection.</t>
  </si>
  <si>
    <t xml:space="preserve">g eSNP variant refers to the lead cis-eQTL variant for that probeset. The alleles, MAF and beta/pvalue all refer to the cis-eQTL dataset.  The initial beta and p-value refer to the cis-eQTL results from the original data. </t>
  </si>
  <si>
    <t xml:space="preserve">h The Beta/pvalue set are the eSNP conditioned on the exome variant and LD is calculated with the exome variant. </t>
  </si>
  <si>
    <t xml:space="preserve">i The Beta/pvalue set are the eSNP conditioned on the GWAS variant and LD is calculated with the GWAS variant. </t>
  </si>
  <si>
    <t>Chr:Position (GRCh37)</t>
  </si>
  <si>
    <r>
      <t>allele</t>
    </r>
    <r>
      <rPr>
        <b/>
        <vertAlign val="superscript"/>
        <sz val="11"/>
        <rFont val="Calibri"/>
        <family val="2"/>
        <scheme val="minor"/>
      </rPr>
      <t>b</t>
    </r>
  </si>
  <si>
    <r>
      <t>eQTL 
beta</t>
    </r>
    <r>
      <rPr>
        <b/>
        <vertAlign val="superscript"/>
        <sz val="11"/>
        <rFont val="Calibri"/>
        <family val="2"/>
        <scheme val="minor"/>
      </rPr>
      <t>c</t>
    </r>
  </si>
  <si>
    <r>
      <t xml:space="preserve">eQTL 
</t>
    </r>
    <r>
      <rPr>
        <b/>
        <i/>
        <sz val="11"/>
        <rFont val="Calibri"/>
        <family val="2"/>
        <scheme val="minor"/>
      </rPr>
      <t>P</t>
    </r>
    <r>
      <rPr>
        <b/>
        <sz val="11"/>
        <rFont val="Calibri"/>
        <family val="2"/>
        <scheme val="minor"/>
      </rPr>
      <t>-Value</t>
    </r>
  </si>
  <si>
    <r>
      <t xml:space="preserve">eQTL 
</t>
    </r>
    <r>
      <rPr>
        <b/>
        <i/>
        <sz val="11"/>
        <rFont val="Calibri"/>
        <family val="2"/>
        <scheme val="minor"/>
      </rPr>
      <t>P</t>
    </r>
    <r>
      <rPr>
        <b/>
        <sz val="11"/>
        <rFont val="Calibri"/>
        <family val="2"/>
        <scheme val="minor"/>
      </rPr>
      <t>-Value threshold</t>
    </r>
  </si>
  <si>
    <t>Tissue</t>
  </si>
  <si>
    <r>
      <t>eSNP</t>
    </r>
    <r>
      <rPr>
        <b/>
        <vertAlign val="superscript"/>
        <sz val="11"/>
        <rFont val="Calibri"/>
        <family val="2"/>
        <scheme val="minor"/>
      </rPr>
      <t>d</t>
    </r>
  </si>
  <si>
    <t>Chr:Position (eSNP; GRCh37)</t>
  </si>
  <si>
    <r>
      <t>allele (eSNP)</t>
    </r>
    <r>
      <rPr>
        <b/>
        <vertAlign val="superscript"/>
        <sz val="11"/>
        <rFont val="Calibri"/>
        <family val="2"/>
        <scheme val="minor"/>
      </rPr>
      <t>b</t>
    </r>
  </si>
  <si>
    <r>
      <t>eSNP 
beta</t>
    </r>
    <r>
      <rPr>
        <b/>
        <vertAlign val="superscript"/>
        <sz val="11"/>
        <rFont val="Calibri"/>
        <family val="2"/>
        <scheme val="minor"/>
      </rPr>
      <t>c</t>
    </r>
  </si>
  <si>
    <r>
      <t xml:space="preserve">eSNP 
</t>
    </r>
    <r>
      <rPr>
        <b/>
        <i/>
        <sz val="11"/>
        <rFont val="Calibri"/>
        <family val="2"/>
        <scheme val="minor"/>
      </rPr>
      <t>P</t>
    </r>
    <r>
      <rPr>
        <b/>
        <sz val="11"/>
        <rFont val="Calibri"/>
        <family val="2"/>
        <scheme val="minor"/>
      </rPr>
      <t>-Value</t>
    </r>
  </si>
  <si>
    <r>
      <t xml:space="preserve">exome/eSNP
</t>
    </r>
    <r>
      <rPr>
        <b/>
        <i/>
        <sz val="11"/>
        <rFont val="Calibri"/>
        <family val="2"/>
        <scheme val="minor"/>
      </rPr>
      <t>r</t>
    </r>
    <r>
      <rPr>
        <b/>
        <i/>
        <vertAlign val="superscript"/>
        <sz val="11"/>
        <rFont val="Calibri"/>
        <family val="2"/>
        <scheme val="minor"/>
      </rPr>
      <t>2e</t>
    </r>
  </si>
  <si>
    <r>
      <t xml:space="preserve">exome/eSNP 
</t>
    </r>
    <r>
      <rPr>
        <b/>
        <i/>
        <sz val="11"/>
        <rFont val="Calibri"/>
        <family val="2"/>
        <scheme val="minor"/>
      </rPr>
      <t>D'</t>
    </r>
    <r>
      <rPr>
        <b/>
        <i/>
        <vertAlign val="superscript"/>
        <sz val="11"/>
        <rFont val="Calibri"/>
        <family val="2"/>
        <scheme val="minor"/>
      </rPr>
      <t>e</t>
    </r>
  </si>
  <si>
    <t>TMEM81</t>
  </si>
  <si>
    <t>Muscle_Skeletal</t>
  </si>
  <si>
    <t>rs4950981</t>
  </si>
  <si>
    <t>1:205075359</t>
  </si>
  <si>
    <t>CYB561D2</t>
  </si>
  <si>
    <t>Adipose_Visceral_Omentum</t>
  </si>
  <si>
    <t>rs2236951</t>
  </si>
  <si>
    <t>3:50421081</t>
  </si>
  <si>
    <t>rs4422345</t>
  </si>
  <si>
    <t>3:51190188</t>
  </si>
  <si>
    <t>HYAL1</t>
  </si>
  <si>
    <t>rs2071802</t>
  </si>
  <si>
    <t>3:50412945</t>
  </si>
  <si>
    <t>rs417592</t>
  </si>
  <si>
    <t>3:50610696</t>
  </si>
  <si>
    <t>Adipose_Subcutaneous</t>
  </si>
  <si>
    <t>rs12488303</t>
  </si>
  <si>
    <t>3:52862003</t>
  </si>
  <si>
    <t>rs66782572</t>
  </si>
  <si>
    <t>3:52567617</t>
  </si>
  <si>
    <t>TMEM110</t>
  </si>
  <si>
    <t>rs13071584</t>
  </si>
  <si>
    <t>3:52804487</t>
  </si>
  <si>
    <t>rs6445541</t>
  </si>
  <si>
    <t>3:52880128</t>
  </si>
  <si>
    <t>rs2336148</t>
  </si>
  <si>
    <t>3:52690638</t>
  </si>
  <si>
    <t>Pancreas</t>
  </si>
  <si>
    <t>rs11918800</t>
  </si>
  <si>
    <t>3:52868145</t>
  </si>
  <si>
    <t>RFT1</t>
  </si>
  <si>
    <t>rs9830353</t>
  </si>
  <si>
    <t>3:53163953</t>
  </si>
  <si>
    <t>rs61644644</t>
  </si>
  <si>
    <t>3:52307496</t>
  </si>
  <si>
    <t>RAB24</t>
  </si>
  <si>
    <t>rs6894676</t>
  </si>
  <si>
    <t>5:176548993</t>
  </si>
  <si>
    <t>rs1125340</t>
  </si>
  <si>
    <t>6:34786408</t>
  </si>
  <si>
    <t>rs6925623</t>
  </si>
  <si>
    <t>6:34800896</t>
  </si>
  <si>
    <t>rs9469869</t>
  </si>
  <si>
    <t>6:34744134</t>
  </si>
  <si>
    <t>rs2814960</t>
  </si>
  <si>
    <t>6:34706201</t>
  </si>
  <si>
    <t>rs6932930</t>
  </si>
  <si>
    <t>6:34677103</t>
  </si>
  <si>
    <t>rs13235365</t>
  </si>
  <si>
    <t>7:6456091</t>
  </si>
  <si>
    <t>rs2288153</t>
  </si>
  <si>
    <t>7:6461534</t>
  </si>
  <si>
    <t>rs78815801</t>
  </si>
  <si>
    <t>7:73045938</t>
  </si>
  <si>
    <t>rs35797675</t>
  </si>
  <si>
    <t>7:72878044</t>
  </si>
  <si>
    <t>rs34060476</t>
  </si>
  <si>
    <t>7:73037956</t>
  </si>
  <si>
    <t>rs71454592</t>
  </si>
  <si>
    <t>11:63878131</t>
  </si>
  <si>
    <t>TCTN2</t>
  </si>
  <si>
    <t>rs66647364</t>
  </si>
  <si>
    <t>12:124197280</t>
  </si>
  <si>
    <t>rs7970602</t>
  </si>
  <si>
    <t>12:124165056</t>
  </si>
  <si>
    <t>rs7133734</t>
  </si>
  <si>
    <t>12:124196735</t>
  </si>
  <si>
    <t>rs3768</t>
  </si>
  <si>
    <t>12:124499839</t>
  </si>
  <si>
    <t>DNAH10OS</t>
  </si>
  <si>
    <t>rs12309481</t>
  </si>
  <si>
    <t>12:124389150</t>
  </si>
  <si>
    <t>rs6488913</t>
  </si>
  <si>
    <t>12:124445569</t>
  </si>
  <si>
    <t>rs35981630</t>
  </si>
  <si>
    <t>12:124463278</t>
  </si>
  <si>
    <t>rs3186071</t>
  </si>
  <si>
    <t>12:124429279</t>
  </si>
  <si>
    <t>rs4923914</t>
  </si>
  <si>
    <t>15:42119603</t>
  </si>
  <si>
    <t>rs11070353</t>
  </si>
  <si>
    <t>15:42191519</t>
  </si>
  <si>
    <t>PLA2G4B</t>
  </si>
  <si>
    <t>rs1197668</t>
  </si>
  <si>
    <t>15:42140414</t>
  </si>
  <si>
    <t>rs11635415</t>
  </si>
  <si>
    <t>15:42133502</t>
  </si>
  <si>
    <t>rs11547012</t>
  </si>
  <si>
    <t>15:42129373</t>
  </si>
  <si>
    <t>rs2577960</t>
  </si>
  <si>
    <t>15:42028354</t>
  </si>
  <si>
    <t>rs7166358</t>
  </si>
  <si>
    <t>15:42191067</t>
  </si>
  <si>
    <t>rs13380315</t>
  </si>
  <si>
    <t>15:42120437</t>
  </si>
  <si>
    <t>rs8025714</t>
  </si>
  <si>
    <t>15:42120157</t>
  </si>
  <si>
    <t>rs7195361</t>
  </si>
  <si>
    <t>16:4530806</t>
  </si>
  <si>
    <t>rs1362626</t>
  </si>
  <si>
    <t>16:4549226</t>
  </si>
  <si>
    <t>CDIP1</t>
  </si>
  <si>
    <t>rs4786514</t>
  </si>
  <si>
    <t>16:4576798</t>
  </si>
  <si>
    <t>rs62039231</t>
  </si>
  <si>
    <t>16:4519548</t>
  </si>
  <si>
    <t>rs11643057</t>
  </si>
  <si>
    <t>16:4544505</t>
  </si>
  <si>
    <t>rs11862686</t>
  </si>
  <si>
    <t>16:4515012</t>
  </si>
  <si>
    <t>rs4786512</t>
  </si>
  <si>
    <t>16:4573040</t>
  </si>
  <si>
    <t>rs1139652</t>
  </si>
  <si>
    <t>16:4476089</t>
  </si>
  <si>
    <t>RANBP10</t>
  </si>
  <si>
    <t>rs8052687</t>
  </si>
  <si>
    <t>16:67446037</t>
  </si>
  <si>
    <t>rs28526086</t>
  </si>
  <si>
    <t>16:67366809</t>
  </si>
  <si>
    <t>rs1559323</t>
  </si>
  <si>
    <t>16:67447255</t>
  </si>
  <si>
    <t>rs9922119</t>
  </si>
  <si>
    <t>16:67411530</t>
  </si>
  <si>
    <t>rs4646385</t>
  </si>
  <si>
    <t>17:17448691</t>
  </si>
  <si>
    <t>PDE4C</t>
  </si>
  <si>
    <t>rs2384986</t>
  </si>
  <si>
    <t>19:18356983</t>
  </si>
  <si>
    <t>rs4808121</t>
  </si>
  <si>
    <t>19:18358107</t>
  </si>
  <si>
    <t>MAMSTR</t>
  </si>
  <si>
    <t>rs519757</t>
  </si>
  <si>
    <t>19:49224966</t>
  </si>
  <si>
    <t>FUT2</t>
  </si>
  <si>
    <t>rs492602</t>
  </si>
  <si>
    <t>19:49206417</t>
  </si>
  <si>
    <t>rs838143</t>
  </si>
  <si>
    <t>19:49251755</t>
  </si>
  <si>
    <t>rs12327653</t>
  </si>
  <si>
    <t>19:49252679</t>
  </si>
  <si>
    <t>rs6142373</t>
  </si>
  <si>
    <t>20:33983314</t>
  </si>
  <si>
    <t>rs1406947</t>
  </si>
  <si>
    <t>20:33969530</t>
  </si>
  <si>
    <t>rs6060402</t>
  </si>
  <si>
    <t>20:34005240</t>
  </si>
  <si>
    <t>CEP250</t>
  </si>
  <si>
    <t>rs10359</t>
  </si>
  <si>
    <t>20:34099789</t>
  </si>
  <si>
    <t>rs6087705</t>
  </si>
  <si>
    <t>20:34001250</t>
  </si>
  <si>
    <r>
      <t xml:space="preserve">a The results were extracted from the GTEx project (V6): https://www.gtexportal.org/home/; Bold lines represent the LD </t>
    </r>
    <r>
      <rPr>
        <i/>
        <sz val="11"/>
        <color theme="1"/>
        <rFont val="Calibri"/>
        <family val="2"/>
        <scheme val="minor"/>
      </rPr>
      <t>r</t>
    </r>
    <r>
      <rPr>
        <i/>
        <vertAlign val="superscript"/>
        <sz val="11"/>
        <color theme="1"/>
        <rFont val="Calibri"/>
        <family val="2"/>
        <scheme val="minor"/>
      </rPr>
      <t>2</t>
    </r>
    <r>
      <rPr>
        <sz val="11"/>
        <color theme="1"/>
        <rFont val="Calibri"/>
        <family val="2"/>
        <scheme val="minor"/>
      </rPr>
      <t xml:space="preserve"> between exome variant and eSNP &gt; 0.8.</t>
    </r>
  </si>
  <si>
    <t>b Alleles are presented as non-effect/effect with regard to cis-eQTL dataset.</t>
  </si>
  <si>
    <r>
      <t>c</t>
    </r>
    <r>
      <rPr>
        <vertAlign val="superscript"/>
        <sz val="11"/>
        <rFont val="Calibri"/>
        <family val="2"/>
        <scheme val="minor"/>
      </rPr>
      <t xml:space="preserve"> </t>
    </r>
    <r>
      <rPr>
        <sz val="11"/>
        <rFont val="Calibri"/>
        <family val="2"/>
        <scheme val="minor"/>
      </rPr>
      <t>Inverse normalized individual tissue quantile normalized RPKM.</t>
    </r>
  </si>
  <si>
    <t>e The linkage disequilibrium information is based on the European population included in 1000 Genome Phase 3 project.</t>
  </si>
  <si>
    <r>
      <t>Chr:Position (GRCh37)</t>
    </r>
    <r>
      <rPr>
        <b/>
        <vertAlign val="superscript"/>
        <sz val="11"/>
        <color theme="1"/>
        <rFont val="Calibri"/>
        <family val="2"/>
        <scheme val="minor"/>
      </rPr>
      <t>a</t>
    </r>
  </si>
  <si>
    <t>Long Gene Name</t>
  </si>
  <si>
    <r>
      <t>Amino Acid Change</t>
    </r>
    <r>
      <rPr>
        <b/>
        <vertAlign val="superscript"/>
        <sz val="11"/>
        <color theme="1"/>
        <rFont val="Calibri"/>
        <family val="2"/>
        <scheme val="minor"/>
      </rPr>
      <t>b</t>
    </r>
  </si>
  <si>
    <t>Function</t>
  </si>
  <si>
    <r>
      <t xml:space="preserve">Known locus </t>
    </r>
    <r>
      <rPr>
        <b/>
        <vertAlign val="superscript"/>
        <sz val="11"/>
        <color theme="1"/>
        <rFont val="Calibri"/>
        <family val="2"/>
        <scheme val="minor"/>
      </rPr>
      <t>c</t>
    </r>
  </si>
  <si>
    <r>
      <t>Effect size (SD/allele)</t>
    </r>
    <r>
      <rPr>
        <b/>
        <vertAlign val="superscript"/>
        <sz val="11"/>
        <color theme="1"/>
        <rFont val="Calibri"/>
        <family val="2"/>
        <scheme val="minor"/>
      </rPr>
      <t>d</t>
    </r>
  </si>
  <si>
    <r>
      <t>P-value for Sex-heterogeneity</t>
    </r>
    <r>
      <rPr>
        <b/>
        <vertAlign val="superscript"/>
        <sz val="11"/>
        <color theme="1"/>
        <rFont val="Calibri"/>
        <family val="2"/>
        <scheme val="minor"/>
      </rPr>
      <t>e</t>
    </r>
  </si>
  <si>
    <t>MAF &lt; 5%</t>
  </si>
  <si>
    <r>
      <t xml:space="preserve">GTEx variant eQTL P-value&lt;5e-08 </t>
    </r>
    <r>
      <rPr>
        <b/>
        <vertAlign val="superscript"/>
        <sz val="11"/>
        <rFont val="Calibri"/>
        <family val="2"/>
        <scheme val="minor"/>
      </rPr>
      <t>f</t>
    </r>
  </si>
  <si>
    <t>If the variant is not in a known locus, why was it not significant in the GWAS GIANT paper by Shungin et al. (Nature, PMID:25673412)?</t>
  </si>
  <si>
    <t>Is this variant the most significant coding variant in the locus?</t>
  </si>
  <si>
    <r>
      <t xml:space="preserve">ExAC Constraint Synonymous (z) </t>
    </r>
    <r>
      <rPr>
        <b/>
        <vertAlign val="superscript"/>
        <sz val="11"/>
        <color theme="1"/>
        <rFont val="Calibri"/>
        <family val="2"/>
        <scheme val="minor"/>
      </rPr>
      <t>g</t>
    </r>
  </si>
  <si>
    <r>
      <t xml:space="preserve">ExAC Constraint Missense (z) </t>
    </r>
    <r>
      <rPr>
        <b/>
        <vertAlign val="superscript"/>
        <sz val="11"/>
        <color theme="1"/>
        <rFont val="Calibri"/>
        <family val="2"/>
        <scheme val="minor"/>
      </rPr>
      <t>h</t>
    </r>
  </si>
  <si>
    <r>
      <t xml:space="preserve">ExAC Constraint LoF (pLI) </t>
    </r>
    <r>
      <rPr>
        <b/>
        <vertAlign val="superscript"/>
        <sz val="11"/>
        <color theme="1"/>
        <rFont val="Calibri"/>
        <family val="2"/>
        <scheme val="minor"/>
      </rPr>
      <t>i</t>
    </r>
  </si>
  <si>
    <t>Tissues where gene is most highly expressed according to GTEx</t>
  </si>
  <si>
    <t>Any monogenic disorders associated with this gene</t>
  </si>
  <si>
    <t>Literature summary &amp; PMIDs</t>
  </si>
  <si>
    <t>T-box 15</t>
  </si>
  <si>
    <t>M460R</t>
  </si>
  <si>
    <t>nonsynonymous</t>
  </si>
  <si>
    <t>Known</t>
  </si>
  <si>
    <t>Muscle-Skeletal, Adipose-Subcutaneous, Artery-Tibial</t>
  </si>
  <si>
    <t>Cousin syndrome</t>
  </si>
  <si>
    <t>T-box 15 (TBX15) is a developmental transcription factor that has been reported to be highly expressed in visceral adipose tissue than in subcutaneous adipose tissue, and strongly downregulated in overweight and obese individuals [PMID: 16617105]. TBX15 is identified to negatively control depot-specific adipocyte differentiation and function [PMID: 21282637] and regulate glycolytic myofiber identity and muscle metabolism [PMID: 26299309].  Further, TBX15 is implicated in Cousin Syndrome, an autosomal recessive disorder characterized by congenital dwarfism, facial dysmorphism, and skeletal anomalies [PMID: 19068278].</t>
  </si>
  <si>
    <t>H50N</t>
  </si>
  <si>
    <t>zinc finger and BTB domain containing 7B</t>
  </si>
  <si>
    <t>P224S</t>
  </si>
  <si>
    <t>Skin-Not Sun Exposed (Suprapubic), Skin-Sun Exposed (Lower leg), Esophagus-Mucosa</t>
  </si>
  <si>
    <t>ZBTB7B, also known as T-helper-inducing POZ/Krueppel-like factor (ThPOK), plays widespread and critical roles in T-cell development, particularly as the master regulator of CD4 commitment. ZBTB7B has recently been suggested to function as an oncogene for T-cell lymphoblastic leukemia [PMID: 26056302].</t>
  </si>
  <si>
    <t>Activin A Receptor Type 1C</t>
  </si>
  <si>
    <t>The variant was not in the HapMap imputed data or Metabochip data used in the GWAS dataset</t>
  </si>
  <si>
    <t>Adipose- subcutaneous, Adipose- visceral (omentum), Brain-nucleus accumbens (basal ganglia), Brain- caudate (basal ganglia), Brain-Putamen (basal ganglia)</t>
  </si>
  <si>
    <r>
      <t xml:space="preserve">Negatively regulates insulin secretion in response to glucose(PMID: 18480258). </t>
    </r>
    <r>
      <rPr>
        <i/>
        <sz val="11"/>
        <color theme="1"/>
        <rFont val="Calibri"/>
        <family val="2"/>
        <scheme val="minor"/>
      </rPr>
      <t>ACVR1C</t>
    </r>
    <r>
      <rPr>
        <sz val="11"/>
        <color theme="1"/>
        <rFont val="Calibri"/>
        <family val="2"/>
        <scheme val="minor"/>
      </rPr>
      <t xml:space="preserve"> null mice show resistance to weight gain on a high-fat diet, but develop hyperinsulemia with age (PMID:  18480259). Highly expressed in the brain (cerrebellum, cortex, and hippocampus) (PMID:15485907). </t>
    </r>
  </si>
  <si>
    <t>Cordon-Bleu WH2 Repeat Protein Like 1</t>
  </si>
  <si>
    <t>N939D</t>
  </si>
  <si>
    <r>
      <rPr>
        <i/>
        <sz val="11"/>
        <color theme="1"/>
        <rFont val="Calibri"/>
        <family val="2"/>
        <scheme val="minor"/>
      </rPr>
      <t>GRB14</t>
    </r>
    <r>
      <rPr>
        <sz val="11"/>
        <color theme="1"/>
        <rFont val="Calibri"/>
        <family val="2"/>
        <scheme val="minor"/>
      </rPr>
      <t>- Esophagus - Muscularis</t>
    </r>
  </si>
  <si>
    <t>Adrenal gland, kidney- cortex, artery- tibial, stomach, nerve-tibial, adipose- subcutaneous</t>
  </si>
  <si>
    <t>Very little is known about the function of this gene.</t>
  </si>
  <si>
    <t>Tissue Factor Pathway Inhibitor</t>
  </si>
  <si>
    <r>
      <rPr>
        <i/>
        <sz val="11"/>
        <color theme="1"/>
        <rFont val="Calibri"/>
        <family val="2"/>
        <scheme val="minor"/>
      </rPr>
      <t>CALCRL</t>
    </r>
    <r>
      <rPr>
        <sz val="11"/>
        <color theme="1"/>
        <rFont val="Calibri"/>
        <family val="2"/>
        <scheme val="minor"/>
      </rPr>
      <t xml:space="preserve">: Artery-Tibial &amp; Aorta, Whole Blood;  </t>
    </r>
    <r>
      <rPr>
        <i/>
        <sz val="11"/>
        <color theme="1"/>
        <rFont val="Calibri"/>
        <family val="2"/>
        <scheme val="minor"/>
      </rPr>
      <t>GAPDHP59</t>
    </r>
    <r>
      <rPr>
        <sz val="11"/>
        <color theme="1"/>
        <rFont val="Calibri"/>
        <family val="2"/>
        <scheme val="minor"/>
      </rPr>
      <t xml:space="preserve">: Skin - Sun Exposed (Lower leg); AC007319.1: Skin - Not Sun Exposed (Suprapubic), Testis; </t>
    </r>
    <r>
      <rPr>
        <i/>
        <sz val="11"/>
        <color theme="1"/>
        <rFont val="Calibri"/>
        <family val="2"/>
        <scheme val="minor"/>
      </rPr>
      <t>TFPI</t>
    </r>
    <r>
      <rPr>
        <sz val="11"/>
        <color theme="1"/>
        <rFont val="Calibri"/>
        <family val="2"/>
        <scheme val="minor"/>
      </rPr>
      <t>: Cells - Transformed fibroblasts</t>
    </r>
  </si>
  <si>
    <t>Lung, Liver, Cells- Transformed fibroblasts, adipose- subcutaneous, artery- coronary</t>
  </si>
  <si>
    <t>Involved in blood coagulation (PMID:9867356).</t>
  </si>
  <si>
    <t>EF-Hand Calcium Binding Domain 12</t>
  </si>
  <si>
    <t>Testes, Pituitary, Prostate, brain (basal ganglia), brain (hypothalmus)</t>
  </si>
  <si>
    <t>Plexin D1</t>
  </si>
  <si>
    <r>
      <rPr>
        <i/>
        <sz val="11"/>
        <color theme="1"/>
        <rFont val="Calibri"/>
        <family val="2"/>
        <scheme val="minor"/>
      </rPr>
      <t>POU5F1P6</t>
    </r>
    <r>
      <rPr>
        <sz val="11"/>
        <color theme="1"/>
        <rFont val="Calibri"/>
        <family val="2"/>
        <scheme val="minor"/>
      </rPr>
      <t>: Prostate</t>
    </r>
  </si>
  <si>
    <t>Lung, adipose- subcutaneous, adipose- visceral (omentum), breast- mammary tissue, nerve- tibial</t>
  </si>
  <si>
    <t>Moebius syndrome (rare neurological disease effect motor and occular control [PMID: 12913192,  15728286, 2277098,  16879188]</t>
  </si>
  <si>
    <t>Involved in angiogenesis as part of the SEMA and VEGF signalling pathways (PMID: 26292963, 26194913, 21802375, 21724832).</t>
  </si>
  <si>
    <t>Chromosome 3 Open Reading Frame 18</t>
  </si>
  <si>
    <r>
      <rPr>
        <i/>
        <sz val="11"/>
        <color theme="1"/>
        <rFont val="Calibri"/>
        <family val="2"/>
        <scheme val="minor"/>
      </rPr>
      <t>HEMK1</t>
    </r>
    <r>
      <rPr>
        <sz val="11"/>
        <color theme="1"/>
        <rFont val="Calibri"/>
        <family val="2"/>
        <scheme val="minor"/>
      </rPr>
      <t xml:space="preserve">: Lung,  Muscle - Skeletal, Nerve - Tibial, Artery - Tibial, Cells - Transformed fibroblasts, Heart - Atrial Appendage, Heart - Left Ventricle, Brain - Caudate (basal ganglia), Brain - Anterior cingulate cortex (BA24), Skin - Sun Exposed (Lower leg); </t>
    </r>
    <r>
      <rPr>
        <i/>
        <sz val="11"/>
        <color theme="1"/>
        <rFont val="Calibri"/>
        <family val="2"/>
        <scheme val="minor"/>
      </rPr>
      <t>C3orf18</t>
    </r>
    <r>
      <rPr>
        <sz val="11"/>
        <color theme="1"/>
        <rFont val="Calibri"/>
        <family val="2"/>
        <scheme val="minor"/>
      </rPr>
      <t xml:space="preserve">: Muscle - Skeletal; </t>
    </r>
    <r>
      <rPr>
        <i/>
        <sz val="11"/>
        <color theme="1"/>
        <rFont val="Calibri"/>
        <family val="2"/>
        <scheme val="minor"/>
      </rPr>
      <t>DOCK3</t>
    </r>
    <r>
      <rPr>
        <sz val="11"/>
        <color theme="1"/>
        <rFont val="Calibri"/>
        <family val="2"/>
        <scheme val="minor"/>
      </rPr>
      <t xml:space="preserve">: Skin - Sun Exposed (Lower leg); RP11-804H8.6: Skin - Sun Exposed (Lower leg); </t>
    </r>
    <r>
      <rPr>
        <i/>
        <sz val="11"/>
        <color theme="1"/>
        <rFont val="Calibri"/>
        <family val="2"/>
        <scheme val="minor"/>
      </rPr>
      <t>MANF</t>
    </r>
    <r>
      <rPr>
        <sz val="11"/>
        <color theme="1"/>
        <rFont val="Calibri"/>
        <family val="2"/>
        <scheme val="minor"/>
      </rPr>
      <t xml:space="preserve">: Testis; </t>
    </r>
    <r>
      <rPr>
        <i/>
        <sz val="11"/>
        <color theme="1"/>
        <rFont val="Calibri"/>
        <family val="2"/>
        <scheme val="minor"/>
      </rPr>
      <t>CACNA2D2</t>
    </r>
    <r>
      <rPr>
        <sz val="11"/>
        <color theme="1"/>
        <rFont val="Calibri"/>
        <family val="2"/>
        <scheme val="minor"/>
      </rPr>
      <t xml:space="preserve">: Testis; </t>
    </r>
    <r>
      <rPr>
        <i/>
        <sz val="11"/>
        <color theme="1"/>
        <rFont val="Calibri"/>
        <family val="2"/>
        <scheme val="minor"/>
      </rPr>
      <t>HYAL1</t>
    </r>
    <r>
      <rPr>
        <sz val="11"/>
        <color theme="1"/>
        <rFont val="Calibri"/>
        <family val="2"/>
        <scheme val="minor"/>
      </rPr>
      <t>: Muscle - Skeletal</t>
    </r>
  </si>
  <si>
    <t>Lack of power/smaller sample size: P=0.057, N=142,689 in Nature GWAS</t>
  </si>
  <si>
    <t xml:space="preserve">Brain- cerebellum, brain- cerebellar hemisphere, testis, brain- cortex, brain- frontal cortex (BA9), ubiquitously expressed
</t>
  </si>
  <si>
    <t xml:space="preserve">  Stabilin 1</t>
  </si>
  <si>
    <t>M2506T</t>
  </si>
  <si>
    <r>
      <rPr>
        <i/>
        <sz val="11"/>
        <color theme="1"/>
        <rFont val="Calibri"/>
        <family val="2"/>
        <scheme val="minor"/>
      </rPr>
      <t>GLYCTK</t>
    </r>
    <r>
      <rPr>
        <sz val="11"/>
        <color theme="1"/>
        <rFont val="Calibri"/>
        <family val="2"/>
        <scheme val="minor"/>
      </rPr>
      <t xml:space="preserve">: Thyroid, Whole Blood, Lung, Spleen, Esophagus - Mucosa, Brain - Cerebellum; </t>
    </r>
    <r>
      <rPr>
        <i/>
        <sz val="11"/>
        <color theme="1"/>
        <rFont val="Calibri"/>
        <family val="2"/>
        <scheme val="minor"/>
      </rPr>
      <t>GLYCTK-AS1</t>
    </r>
    <r>
      <rPr>
        <sz val="11"/>
        <color theme="1"/>
        <rFont val="Calibri"/>
        <family val="2"/>
        <scheme val="minor"/>
      </rPr>
      <t xml:space="preserve">: Lung, Thyroid, Whole Blood; </t>
    </r>
    <r>
      <rPr>
        <i/>
        <sz val="11"/>
        <color theme="1"/>
        <rFont val="Calibri"/>
        <family val="2"/>
        <scheme val="minor"/>
      </rPr>
      <t>GNL3</t>
    </r>
    <r>
      <rPr>
        <sz val="11"/>
        <color theme="1"/>
        <rFont val="Calibri"/>
        <family val="2"/>
        <scheme val="minor"/>
      </rPr>
      <t xml:space="preserve">: Cells - Transformed fibroblasts, Artery - Aorta, Esophagus - Muscularis, Artery - Tibial, Brain - Cerebellar Hemisphere, Brain - Cerebellum, Testis; </t>
    </r>
    <r>
      <rPr>
        <i/>
        <sz val="11"/>
        <color theme="1"/>
        <rFont val="Calibri"/>
        <family val="2"/>
        <scheme val="minor"/>
      </rPr>
      <t>ITIH4-AS1</t>
    </r>
    <r>
      <rPr>
        <sz val="11"/>
        <color theme="1"/>
        <rFont val="Calibri"/>
        <family val="2"/>
        <scheme val="minor"/>
      </rPr>
      <t xml:space="preserve">: Muscle - Skeletal, Artery - Aorta, Artery - Tibial, Whole Blood; </t>
    </r>
    <r>
      <rPr>
        <i/>
        <sz val="11"/>
        <color theme="1"/>
        <rFont val="Calibri"/>
        <family val="2"/>
        <scheme val="minor"/>
      </rPr>
      <t>MUSTN1</t>
    </r>
    <r>
      <rPr>
        <sz val="11"/>
        <color theme="1"/>
        <rFont val="Calibri"/>
        <family val="2"/>
        <scheme val="minor"/>
      </rPr>
      <t xml:space="preserve">: Artery - Aorta; </t>
    </r>
    <r>
      <rPr>
        <i/>
        <sz val="11"/>
        <color theme="1"/>
        <rFont val="Calibri"/>
        <family val="2"/>
        <scheme val="minor"/>
      </rPr>
      <t>NEK4</t>
    </r>
    <r>
      <rPr>
        <sz val="11"/>
        <color theme="1"/>
        <rFont val="Calibri"/>
        <family val="2"/>
        <scheme val="minor"/>
      </rPr>
      <t xml:space="preserve">: Cells - Transformed fibroblasts, Artery - Tibial, Thyroid, Esophagus - Mucosa, Lung, Nerve - Tibial; </t>
    </r>
    <r>
      <rPr>
        <i/>
        <sz val="11"/>
        <color theme="1"/>
        <rFont val="Calibri"/>
        <family val="2"/>
        <scheme val="minor"/>
      </rPr>
      <t>NT5DC2</t>
    </r>
    <r>
      <rPr>
        <sz val="11"/>
        <color theme="1"/>
        <rFont val="Calibri"/>
        <family val="2"/>
        <scheme val="minor"/>
      </rPr>
      <t xml:space="preserve">: Cells - Transformed fibroblasts, Skin - Sun Exposed (Lower leg), Cells - EBV-transformed lymphocytes, Thyroid, Testis, Colon - Sigmoid, Artery - Aorta, Colon - Transverse, Heart - Atrial Appendage, Nerve - Tibial; </t>
    </r>
    <r>
      <rPr>
        <i/>
        <sz val="11"/>
        <color theme="1"/>
        <rFont val="Calibri"/>
        <family val="2"/>
        <scheme val="minor"/>
      </rPr>
      <t>PBRM1</t>
    </r>
    <r>
      <rPr>
        <sz val="11"/>
        <color theme="1"/>
        <rFont val="Calibri"/>
        <family val="2"/>
        <scheme val="minor"/>
      </rPr>
      <t xml:space="preserve">: Thyroid, Artery - Tibial, Cells - Transformed fibroblasts; </t>
    </r>
    <r>
      <rPr>
        <i/>
        <sz val="11"/>
        <color theme="1"/>
        <rFont val="Calibri"/>
        <family val="2"/>
        <scheme val="minor"/>
      </rPr>
      <t>RP5-966M1.6</t>
    </r>
    <r>
      <rPr>
        <sz val="11"/>
        <color theme="1"/>
        <rFont val="Calibri"/>
        <family val="2"/>
        <scheme val="minor"/>
      </rPr>
      <t>: Muscle - Skeletal, Artery - Aorta</t>
    </r>
  </si>
  <si>
    <t>Spleen, adipose- visceral (omentum), adrenal gland, adipose- subcutaneous, lung</t>
  </si>
  <si>
    <t>None with strong evidence</t>
  </si>
  <si>
    <t>May be involved in the scavenger pathway (PMID: 21480214) and angiogenesis (PMID: 12077138)</t>
  </si>
  <si>
    <t>Inter-Alpha-Trypsin Inhibitor Heavy Chain 3</t>
  </si>
  <si>
    <r>
      <rPr>
        <i/>
        <sz val="11"/>
        <color theme="1"/>
        <rFont val="Calibri"/>
        <family val="2"/>
        <scheme val="minor"/>
      </rPr>
      <t>GLYCTK</t>
    </r>
    <r>
      <rPr>
        <sz val="11"/>
        <color theme="1"/>
        <rFont val="Calibri"/>
        <family val="2"/>
        <scheme val="minor"/>
      </rPr>
      <t xml:space="preserve">: Thyroid, Lung, Nerve - Tibial, Spleen; </t>
    </r>
    <r>
      <rPr>
        <i/>
        <sz val="11"/>
        <color theme="1"/>
        <rFont val="Calibri"/>
        <family val="2"/>
        <scheme val="minor"/>
      </rPr>
      <t>GLYCTK-AS1</t>
    </r>
    <r>
      <rPr>
        <sz val="11"/>
        <color theme="1"/>
        <rFont val="Calibri"/>
        <family val="2"/>
        <scheme val="minor"/>
      </rPr>
      <t xml:space="preserve">: Lung; </t>
    </r>
    <r>
      <rPr>
        <i/>
        <sz val="11"/>
        <color theme="1"/>
        <rFont val="Calibri"/>
        <family val="2"/>
        <scheme val="minor"/>
      </rPr>
      <t>GNL3</t>
    </r>
    <r>
      <rPr>
        <sz val="11"/>
        <color theme="1"/>
        <rFont val="Calibri"/>
        <family val="2"/>
        <scheme val="minor"/>
      </rPr>
      <t xml:space="preserve">: Esophagus - Muscularis, Cells - Transformed fibroblasts, Heart - Left Ventricle, Artery - Aorta, Testis; </t>
    </r>
    <r>
      <rPr>
        <i/>
        <sz val="11"/>
        <color theme="1"/>
        <rFont val="Calibri"/>
        <family val="2"/>
        <scheme val="minor"/>
      </rPr>
      <t>ITIH4-AS1</t>
    </r>
    <r>
      <rPr>
        <sz val="11"/>
        <color theme="1"/>
        <rFont val="Calibri"/>
        <family val="2"/>
        <scheme val="minor"/>
      </rPr>
      <t xml:space="preserve">: Muscle - Skeletal, Artery - Aorta, Artery - Tibial, Lung, Pancreas; </t>
    </r>
    <r>
      <rPr>
        <i/>
        <sz val="11"/>
        <color theme="1"/>
        <rFont val="Calibri"/>
        <family val="2"/>
        <scheme val="minor"/>
      </rPr>
      <t>MUSTN1</t>
    </r>
    <r>
      <rPr>
        <sz val="11"/>
        <color theme="1"/>
        <rFont val="Calibri"/>
        <family val="2"/>
        <scheme val="minor"/>
      </rPr>
      <t xml:space="preserve">: Artery - Aorta; </t>
    </r>
    <r>
      <rPr>
        <i/>
        <sz val="11"/>
        <color theme="1"/>
        <rFont val="Calibri"/>
        <family val="2"/>
        <scheme val="minor"/>
      </rPr>
      <t>NEK4</t>
    </r>
    <r>
      <rPr>
        <sz val="11"/>
        <color theme="1"/>
        <rFont val="Calibri"/>
        <family val="2"/>
        <scheme val="minor"/>
      </rPr>
      <t xml:space="preserve">: Cells - Transformed fibroblasts, Thyroid, Artery - Tibial, Nerve - Tibial; </t>
    </r>
    <r>
      <rPr>
        <i/>
        <sz val="11"/>
        <color theme="1"/>
        <rFont val="Calibri"/>
        <family val="2"/>
        <scheme val="minor"/>
      </rPr>
      <t>NT5DC2</t>
    </r>
    <r>
      <rPr>
        <sz val="11"/>
        <color theme="1"/>
        <rFont val="Calibri"/>
        <family val="2"/>
        <scheme val="minor"/>
      </rPr>
      <t xml:space="preserve">: Cells - Transformed fibroblasts, Testis, Thyroid, Cells - EBV-transformed lymphocytes, Breast - Mammary Tissue, Colon - Sigmoid, Colon - Transverse, Skin - Sun Exposed (Lower leg), Artery - Aorta; </t>
    </r>
    <r>
      <rPr>
        <i/>
        <sz val="11"/>
        <color theme="1"/>
        <rFont val="Calibri"/>
        <family val="2"/>
        <scheme val="minor"/>
      </rPr>
      <t>PBRM1</t>
    </r>
    <r>
      <rPr>
        <sz val="11"/>
        <color theme="1"/>
        <rFont val="Calibri"/>
        <family val="2"/>
        <scheme val="minor"/>
      </rPr>
      <t>: Thyroid, Artery - Tibial; RP5-966M1.6: Muscle - Skeletal, Adipose - Visceral (Omentum), Esophagus - Mucosa</t>
    </r>
  </si>
  <si>
    <t>Liver, artery- tibial, artery- coronary</t>
  </si>
  <si>
    <t>Very little is known about the function of this gene, but there have been repeated associations found with schizophrenia (PMID: 27396837) and myocardial infarction (PMID: 17211523).</t>
  </si>
  <si>
    <t>A93V</t>
  </si>
  <si>
    <r>
      <rPr>
        <i/>
        <sz val="11"/>
        <color theme="1"/>
        <rFont val="Calibri"/>
        <family val="2"/>
        <scheme val="minor"/>
      </rPr>
      <t>USP53</t>
    </r>
    <r>
      <rPr>
        <sz val="11"/>
        <color theme="1"/>
        <rFont val="Calibri"/>
        <family val="2"/>
        <scheme val="minor"/>
      </rPr>
      <t xml:space="preserve"> (whole blood), </t>
    </r>
    <r>
      <rPr>
        <i/>
        <sz val="11"/>
        <color theme="1"/>
        <rFont val="Calibri"/>
        <family val="2"/>
        <scheme val="minor"/>
      </rPr>
      <t>RP11-22B1.1</t>
    </r>
    <r>
      <rPr>
        <sz val="11"/>
        <color theme="1"/>
        <rFont val="Calibri"/>
        <family val="2"/>
        <scheme val="minor"/>
      </rPr>
      <t xml:space="preserve"> (thyroid, esophagus- mucosa)</t>
    </r>
  </si>
  <si>
    <t>Lack of power/smaller sample size: P=0.13 in Nature GWAS</t>
  </si>
  <si>
    <t>Artery - Aorta, Esophagus - Muscularis, Esophagus - Gastroesophageal Junction, Arter- Tibial</t>
  </si>
  <si>
    <t>hydrolyzes cGMP to 5'-GMP. Needed for smooth muscle relaxation in the cardiovascular system via regulation of intracellular concentrations of cyclic nucleotides  (PMID:  21193396) Viargra is selectively inhibits PDE5A (PMID: 12955149)</t>
  </si>
  <si>
    <t>Brain - Cerebellar Hemisphere, Brain  Cerebellum</t>
  </si>
  <si>
    <t>a member the HERC ubiquitin ligase family (E3)     PMID: 11163799</t>
  </si>
  <si>
    <t>V769I</t>
  </si>
  <si>
    <t>no</t>
  </si>
  <si>
    <t>Thyroid, Brain - Cerebellar Hemisphere, Brain - Cerebellum, Aipose - Subcutaneous</t>
  </si>
  <si>
    <t>likely Rho GTPase regulation PMID 25163686</t>
  </si>
  <si>
    <t>Lung, Liver, Kidney - Cortex</t>
  </si>
  <si>
    <t>Fibroblast growth factor receptor
Bile acid synthesis (PMID 21653700, 19237543)
FGFR4 expression regulated by insulin (PMID 19237543)</t>
  </si>
  <si>
    <t>R-spondin 3</t>
  </si>
  <si>
    <t>...</t>
  </si>
  <si>
    <t>Uterus, esophagus - gastroesophageal junction, esophagus - muscularis, adipose - visceral, fallopian tube</t>
  </si>
  <si>
    <t xml:space="preserve">RSPO3 already reported in Shungin et al., 2015. Secreted protein regulating beta-catenin signaling. Involved in angiogenesis, may affect expansion/loss of adipose tissue (PMID 16357527, 20228789, 25673412).
</t>
  </si>
  <si>
    <t>Novel - rare variant, not in the Shungin et al. data</t>
  </si>
  <si>
    <t>Muscle - skeletal, esophagus - gastroesophageal junction, esophagus - muscularis, adipose - visceral, colon - sigmoid</t>
  </si>
  <si>
    <t>Histone cluster 1 H1 family member t</t>
  </si>
  <si>
    <t>Novel - rare variant, present in the data?</t>
  </si>
  <si>
    <r>
      <t xml:space="preserve">NA; </t>
    </r>
    <r>
      <rPr>
        <i/>
        <sz val="11"/>
        <color theme="1"/>
        <rFont val="Calibri"/>
        <family val="2"/>
        <scheme val="minor"/>
      </rPr>
      <t>HFE</t>
    </r>
    <r>
      <rPr>
        <sz val="11"/>
        <color theme="1"/>
        <rFont val="Calibri"/>
        <family val="2"/>
        <scheme val="minor"/>
      </rPr>
      <t xml:space="preserve"> - 1.11</t>
    </r>
  </si>
  <si>
    <r>
      <t xml:space="preserve">NA; </t>
    </r>
    <r>
      <rPr>
        <i/>
        <sz val="11"/>
        <color theme="1"/>
        <rFont val="Calibri"/>
        <family val="2"/>
        <scheme val="minor"/>
      </rPr>
      <t>HFE</t>
    </r>
    <r>
      <rPr>
        <sz val="11"/>
        <color theme="1"/>
        <rFont val="Calibri"/>
        <family val="2"/>
        <scheme val="minor"/>
      </rPr>
      <t xml:space="preserve"> - 0.39</t>
    </r>
  </si>
  <si>
    <r>
      <t xml:space="preserve">NA; </t>
    </r>
    <r>
      <rPr>
        <i/>
        <sz val="11"/>
        <color theme="1"/>
        <rFont val="Calibri"/>
        <family val="2"/>
        <scheme val="minor"/>
      </rPr>
      <t>HFE</t>
    </r>
    <r>
      <rPr>
        <sz val="11"/>
        <color theme="1"/>
        <rFont val="Calibri"/>
        <family val="2"/>
        <scheme val="minor"/>
      </rPr>
      <t xml:space="preserve"> - 0.00</t>
    </r>
  </si>
  <si>
    <t>Low/no expression, low expression in tetis</t>
  </si>
  <si>
    <r>
      <t xml:space="preserve">none for </t>
    </r>
    <r>
      <rPr>
        <i/>
        <sz val="11"/>
        <color theme="1"/>
        <rFont val="Calibri"/>
        <family val="2"/>
        <scheme val="minor"/>
      </rPr>
      <t>HIST1H1T</t>
    </r>
    <r>
      <rPr>
        <sz val="11"/>
        <color theme="1"/>
        <rFont val="Calibri"/>
        <family val="2"/>
        <scheme val="minor"/>
      </rPr>
      <t xml:space="preserve">; neighboring gene </t>
    </r>
    <r>
      <rPr>
        <i/>
        <sz val="11"/>
        <color theme="1"/>
        <rFont val="Calibri"/>
        <family val="2"/>
        <scheme val="minor"/>
      </rPr>
      <t>HFE</t>
    </r>
    <r>
      <rPr>
        <sz val="11"/>
        <color theme="1"/>
        <rFont val="Calibri"/>
        <family val="2"/>
        <scheme val="minor"/>
      </rPr>
      <t xml:space="preserve"> - The iron storage disorder, hereditary haemochromatosis, is a recessive genetic disorder that results from defects in this gene.
</t>
    </r>
  </si>
  <si>
    <r>
      <rPr>
        <i/>
        <sz val="11"/>
        <color theme="1"/>
        <rFont val="Calibri"/>
        <family val="2"/>
        <scheme val="minor"/>
      </rPr>
      <t>HIST1H*</t>
    </r>
    <r>
      <rPr>
        <sz val="11"/>
        <color theme="1"/>
        <rFont val="Calibri"/>
        <family val="2"/>
        <scheme val="minor"/>
      </rPr>
      <t xml:space="preserve"> - Large histone gene cluster. This gene is intronless and encodes a replication-dependent histone that is a member of the histone H1 family (PMID 9765591, 1889752). H1t in rat is a quantitative trait locus for blood pressure (PMID 8201007).
</t>
    </r>
    <r>
      <rPr>
        <i/>
        <sz val="11"/>
        <color theme="1"/>
        <rFont val="Calibri"/>
        <family val="2"/>
        <scheme val="minor"/>
      </rPr>
      <t>HFE -</t>
    </r>
    <r>
      <rPr>
        <sz val="11"/>
        <color theme="1"/>
        <rFont val="Calibri"/>
        <family val="2"/>
        <scheme val="minor"/>
      </rPr>
      <t xml:space="preserve"> The protein encoded by this gene is a membrane protein that is similar to MHC class I-type proteins and associates with beta2-microglobulin (beta2M). It is thought that this protein functions to regulate iron absorption by regulating the interaction of the transferrin receptor with transferrin (PMID 26456104).
</t>
    </r>
  </si>
  <si>
    <t>UHRF1 binding protein 1</t>
  </si>
  <si>
    <r>
      <rPr>
        <i/>
        <sz val="11"/>
        <color theme="1"/>
        <rFont val="Calibri"/>
        <family val="2"/>
        <scheme val="minor"/>
      </rPr>
      <t>UHRF1BP1</t>
    </r>
    <r>
      <rPr>
        <sz val="11"/>
        <color theme="1"/>
        <rFont val="Calibri"/>
        <family val="2"/>
        <scheme val="minor"/>
      </rPr>
      <t xml:space="preserve"> (Cells - transformed fibroblasts, adipose - subcutaneous, adipose - visceral, muscle - skeletal, whole blood, artery - tibial)</t>
    </r>
  </si>
  <si>
    <t>Novel - not significant in Shungin et al.</t>
  </si>
  <si>
    <t>yes - suggestive p in stage 1 meta-analysis</t>
  </si>
  <si>
    <t>Testis, cells - EBV-transformed lymphocytes, brain - cerebellar hemisphere, muscle - skeletal, brain - cerebellum, thyroid</t>
  </si>
  <si>
    <t xml:space="preserve">UHRF1BP1 encodes a highly conserved protein with unknown function (PMID 21326321).
</t>
  </si>
  <si>
    <t xml:space="preserve">Ras responsive element binding protein 1 </t>
  </si>
  <si>
    <t>Novel - not significant in Shungin et al., independent of the known GWAS signal in the region</t>
  </si>
  <si>
    <t>1 probability of LoF intolerance</t>
  </si>
  <si>
    <t xml:space="preserve">Esophagus - mucosa, skin - sun exposed, skin - not sun exposed, thyroid, vagina, testis </t>
  </si>
  <si>
    <t xml:space="preserve">The protein encoded by this gene is a zinc finger transcription factor that binds to RAS-responsive elements (RREs) of gene promoters. It has been shown that the calcitonin gene promoter contains an RRE and that the encoded protein binds there and increases expression of calcitonin, which may be involved in Ras/Raf-mediated cell differentiation. (PMID 8816445, 25027322, 9367691).
</t>
  </si>
  <si>
    <t>Diacylglycerol lipase beta</t>
  </si>
  <si>
    <r>
      <rPr>
        <i/>
        <sz val="11"/>
        <color theme="1"/>
        <rFont val="Calibri"/>
        <family val="2"/>
        <scheme val="minor"/>
      </rPr>
      <t>DAGLB</t>
    </r>
    <r>
      <rPr>
        <sz val="11"/>
        <color theme="1"/>
        <rFont val="Calibri"/>
        <family val="2"/>
        <scheme val="minor"/>
      </rPr>
      <t xml:space="preserve"> (Selected tissues: Adipose - subcutaneous, pituitary, pancreas, ovary, adipose - visceral, thyroid)</t>
    </r>
  </si>
  <si>
    <t>Expressed in many tissues; adrenal gland, skin - sun exposed, skin - not sun exposed, brain - cortex, lung, spleen, brain - frontal cortex (BA9)</t>
  </si>
  <si>
    <t>Diacylglycerol lipase beta. DAGLB is a diacylglycerol (DAG) lipase that catalyzes the hydrolysis of DAG to 2-arachidonoyl-glycerol, the most abundant endocannabinoid in tissues. In brain, DAGL activity is required for axonal growth during development and for retrograde synaptic signaling at mature synapses(2-AG) (PMID 14610053).</t>
  </si>
  <si>
    <t>MLX interacting protein like</t>
  </si>
  <si>
    <r>
      <rPr>
        <i/>
        <sz val="11"/>
        <color theme="1"/>
        <rFont val="Calibri"/>
        <family val="2"/>
        <scheme val="minor"/>
      </rPr>
      <t>MLXIPL</t>
    </r>
    <r>
      <rPr>
        <sz val="11"/>
        <color theme="1"/>
        <rFont val="Calibri"/>
        <family val="2"/>
        <scheme val="minor"/>
      </rPr>
      <t xml:space="preserve"> (Thyroid, skin - not sun exposed, skin - sun exposed, cells - transformed fibroblasts, adipose - subcutaneous, pancreas, esophagus - mucosa)</t>
    </r>
  </si>
  <si>
    <t>Novel - not significant in Shungin et al. Only a suggestive (p~1e-5) signal in the region</t>
  </si>
  <si>
    <t>yes - in complete LD with 7:73020337</t>
  </si>
  <si>
    <t>Liver (highly expressed), adrenal gland, adipose - subcutaneous, small instestine - terminal ileum, adipose - visceral, brain - cerebellum</t>
  </si>
  <si>
    <t xml:space="preserve">Williams-Beuren syndrome (caused by a deletion of about 26 genes from the long arm of chromosome 7)
</t>
  </si>
  <si>
    <t xml:space="preserve">This gene encodes a basic helix-loop-helix leucine zipper transcription factor of the Myc/Max/Mad superfamily. This protein forms a heterodimeric complex and binds and activates, in a glucose-dependent manner, carbohydrate response element (ChoRE) motifs in the promoters of triglyceride synthesis genes (PMID 26177557, 11230181), possibly involved in growth hormone signaling pathway and lipid metabolism.
</t>
  </si>
  <si>
    <t>yes - in complete LD with 7:73012042</t>
  </si>
  <si>
    <t>Fibroblast Growth Factor Receptor 2</t>
  </si>
  <si>
    <t>brain (substantia nigra, spinal cord), sigmoid colon</t>
  </si>
  <si>
    <t>Antley-Bixler syndrome without genital anomalies or disordered steroidogenesis; Apert syndrome; Beare-Stevenson cutis gyrata syndrome; Bent bone dysplasia syndrome; Craniofacial-skeletal-dermatologic dysplasia; nonspecific Craniosynostosis; Crouzon syndrome; somatic gastric cancer; Jackson-Weiss syndrome; LADD syndrome; Pfeiffer syndrome; Saethre-Chotzen syndrome; Scaphocephaly and Axenfeld-Rieger anomaly; Scaphocephaly, maxillary retrusion, and mental retardation</t>
  </si>
  <si>
    <t>Function: fibroblast growth factor receptor 2 - The extracellular portion of the protein interacts with fibroblast growth factors, setting in motion a cascade of downstream signals, ultimately influencing mitogenesis and differentiation.  Implicated in many cancers, including breast, gastric, and lung cancers.  Methylation of FGFR2 is associated with high birth weight percentile [PMID:25431941]</t>
  </si>
  <si>
    <t>Phospholipase C Epsilon 1</t>
  </si>
  <si>
    <t>R548L</t>
  </si>
  <si>
    <t>Lack of power/smaller sample size in Nature GWAS</t>
  </si>
  <si>
    <t>tibial artery, transverse colon</t>
  </si>
  <si>
    <t>Nephrotic syndrome, type 3</t>
  </si>
  <si>
    <t>Function: phospholipase C, epsilon 1 encodes a phospholipase enzyme that catalyzes the hydrolysis of phosphatidylinositol-4,5-bisphosphate to generate inositol 1,4,5-triphosphate (IP3) and diacylglycerol (DAG). These second messengers regulate processes affecting cell growth, differentiation, and gene expression. Implicated in cancers of the digestive tract, particularly in Asian populations [PMID: 26078291, PMID: 25658482, 25520085, 25139097].</t>
  </si>
  <si>
    <t>Phospholipase C Beta 3</t>
  </si>
  <si>
    <t>S845L</t>
  </si>
  <si>
    <r>
      <t>VEGFB</t>
    </r>
    <r>
      <rPr>
        <sz val="11"/>
        <color theme="1"/>
        <rFont val="Calibri"/>
        <family val="2"/>
        <scheme val="minor"/>
      </rPr>
      <t xml:space="preserve"> (Heart - Left Ventricle &amp; Atrial Appendage, Adipose - Subcutaneous)</t>
    </r>
  </si>
  <si>
    <t>small intestine</t>
  </si>
  <si>
    <t>mean platelet volume [PMID: 26024889], ADHD [PMID: 23527680]</t>
  </si>
  <si>
    <t>Pecanex-like protein 3</t>
  </si>
  <si>
    <t>testis; small intestine; some expression amoung most tissues</t>
  </si>
  <si>
    <t>HDL cholesterol [PMID:24097068]; schizophrenia [PMID:26198764];</t>
  </si>
  <si>
    <t>WSC domain containing 2</t>
  </si>
  <si>
    <t xml:space="preserve">Lack of power/smaller sample size: P=2.59E-6 (N=179,236) in Nature GWAS; P=4.73E-7 (N=342,592) in Exomechip; </t>
  </si>
  <si>
    <t>Brain-Cerebellum, Brain-Cerebellar Hemisphere, Brain-Nucleus accumbens (basal ganglia)</t>
  </si>
  <si>
    <t>The encoded protein is called homo sapiens WSC domain containing 2. Genetic variation in this gene is associated with temperament in bipolar disorder [PMID: 22365631].</t>
  </si>
  <si>
    <t>ATP binding cassette subfamily B member 9</t>
  </si>
  <si>
    <t>Testis, Brain-Cerebellum, Brain-Cortex</t>
  </si>
  <si>
    <t>ABCB9, also known as the transporter associated with antigen processing-like (TAPL), is a homodimeric ABC transporter. Its expression shows a broad tissue distribution with high expression in dendritic cells and macrophages. It shuttles 6- up to 59-mer peptides from the cytosol into the lysosome in a process that is coupled to ATP hydrolysis. [PMID: 25646430].</t>
  </si>
  <si>
    <t>dynein axonemal heavy chain 10</t>
  </si>
  <si>
    <t>S167P</t>
  </si>
  <si>
    <t>TCTN2 (Adipose_Subcutaneous, Artery_Tibial, Muscle_Skeletal, Nerve_Tibial)</t>
  </si>
  <si>
    <t>Testis, Brain-Cerebellum, Cervix-Endocervix</t>
  </si>
  <si>
    <t>DNAH10 encodes dynein, axonemal, heavy chain 10. Dyneins are microtubule-associated motor protein complexes composed of several heavy, light, and intermediate chains. The axonemal dyneins, found in cilia and flagella, are components of the outer and inner dynein arms attached to the peripheral microtubule doublets.</t>
  </si>
  <si>
    <t>T1724M</t>
  </si>
  <si>
    <t>ZNF664 (Heart_Left_Ventricle)</t>
  </si>
  <si>
    <t>coiled-coil domain containing 92</t>
  </si>
  <si>
    <t>S70C</t>
  </si>
  <si>
    <t>CCDC92 (Adipose_Subcutaneous, Adipose_Visceral_Omentum, Heart_Left_Ventricle); RP11-380L11.4 (Artery_Tibial, Esophagus_Muscularis); ZNF664 (Thyroid)</t>
  </si>
  <si>
    <t>Brain-Anterior cingulate cortex (BA24), Brain-Frontal Cortex (BA9), Brain-Cortex</t>
  </si>
  <si>
    <t>CCDC92 encodes a protein with unknown function that was found to be upregulated in human B lymphoblastoid cells treated with a polychlorinated biphenyl pollutant [PMID: 23291345].</t>
  </si>
  <si>
    <t>Rap guanine nucleotide exchange factor 3</t>
  </si>
  <si>
    <t>Thyroid, Kidney-Cortex, Adipose-Subcutaneous</t>
  </si>
  <si>
    <t>RAPGEF3 is an intracellular cAMP sensor, also known as Epac (the Exchange Protein directly Activated by Cyclic AMP). Among its many known functions, RAPGEF3 regulates the ATP sensitivity of the KATP channel involved in insulin secretion (PMID:18202100), is suggested to be important in regulating adipocyte differentiation [PMID: 20036887, PMID: 19010385, PMID: 18391018], and plays an important role in regulating adiposity and energy balance [PMID: 23263987].</t>
  </si>
  <si>
    <r>
      <rPr>
        <i/>
        <sz val="11"/>
        <color theme="1"/>
        <rFont val="Calibri"/>
        <family val="2"/>
        <scheme val="minor"/>
      </rPr>
      <t>PLA2G4B</t>
    </r>
    <r>
      <rPr>
        <sz val="11"/>
        <color theme="1"/>
        <rFont val="Calibri"/>
        <family val="2"/>
        <scheme val="minor"/>
      </rPr>
      <t xml:space="preserve"> (Skin- Sun Exposed (Lower leg), Skin - Not Sun Explosed (Suprapubic), Thyroid, ), </t>
    </r>
    <r>
      <rPr>
        <i/>
        <sz val="11"/>
        <color theme="1"/>
        <rFont val="Calibri"/>
        <family val="2"/>
        <scheme val="minor"/>
      </rPr>
      <t>JMJD7</t>
    </r>
    <r>
      <rPr>
        <sz val="11"/>
        <color theme="1"/>
        <rFont val="Calibri"/>
        <family val="2"/>
        <scheme val="minor"/>
      </rPr>
      <t xml:space="preserve"> (Skin - Sun Explosed (Lower leg)), </t>
    </r>
    <r>
      <rPr>
        <i/>
        <sz val="11"/>
        <color theme="1"/>
        <rFont val="Calibri"/>
        <family val="2"/>
        <scheme val="minor"/>
      </rPr>
      <t>MAPKBP1</t>
    </r>
    <r>
      <rPr>
        <sz val="11"/>
        <color theme="1"/>
        <rFont val="Calibri"/>
        <family val="2"/>
        <scheme val="minor"/>
      </rPr>
      <t xml:space="preserve"> (Nerve - Tibial, Brain- Cortex)</t>
    </r>
  </si>
  <si>
    <t>suggestive and directionally consistent in European sex-combined analysis. Increase in sample size/direct genotyping</t>
  </si>
  <si>
    <t>Testes, Brain  - Cerebellar Hemisphere, Brain - Cerebellum, Ovary</t>
  </si>
  <si>
    <t>transcriptional repressor/activator depending on presence of MAX (PMID 10601024)</t>
  </si>
  <si>
    <r>
      <t>TEX9</t>
    </r>
    <r>
      <rPr>
        <sz val="11"/>
        <color theme="1"/>
        <rFont val="Calibri"/>
        <family val="2"/>
        <scheme val="minor"/>
      </rPr>
      <t xml:space="preserve"> (Adrenal Gland, Pituitary)</t>
    </r>
  </si>
  <si>
    <t>Testes</t>
  </si>
  <si>
    <t>important in pachytene stage of meiosis in spermatogenesis (PMID 8032679, 7625268)</t>
  </si>
  <si>
    <r>
      <t>NMRAL1</t>
    </r>
    <r>
      <rPr>
        <sz val="11"/>
        <color theme="1"/>
        <rFont val="Calibri"/>
        <family val="2"/>
        <scheme val="minor"/>
      </rPr>
      <t xml:space="preserve"> (Muscle - Skeletal, Adipose - Subcuraneous, Whole Blood, Brain - Cerebellar Hemisphere, Artery - Tibial, Brain - Cerebellum, Esophagus - Muscularis, Nerve - Tibial, Artery - Aorta), </t>
    </r>
    <r>
      <rPr>
        <i/>
        <sz val="11"/>
        <color theme="1"/>
        <rFont val="Calibri"/>
        <family val="2"/>
        <scheme val="minor"/>
      </rPr>
      <t xml:space="preserve">CDIP1 </t>
    </r>
    <r>
      <rPr>
        <sz val="11"/>
        <color theme="1"/>
        <rFont val="Calibri"/>
        <family val="2"/>
        <scheme val="minor"/>
      </rPr>
      <t>(Cells - Transformed fibroblasts, Brain - Cerebellar Hemisphere, Brain - Cerebellum, Thyroid, Esophagus - Muscularis, Esophagus - Gastroesophageal Junction)</t>
    </r>
  </si>
  <si>
    <t>This variant is known for BMI and so was dropped in Nature GWAS</t>
  </si>
  <si>
    <t>Cells - Transformed Fibroblasts, Artery - (Aorta, Tibial, and Coronary),</t>
  </si>
  <si>
    <t>Golgi function and shape (PMID: 15327992, 16905771)</t>
  </si>
  <si>
    <r>
      <t>NMRAL1</t>
    </r>
    <r>
      <rPr>
        <sz val="11"/>
        <color theme="1"/>
        <rFont val="Calibri"/>
        <family val="2"/>
        <scheme val="minor"/>
      </rPr>
      <t xml:space="preserve"> (Muscle - Skeletal, Brain -Cerebellar Hemisphere, Brain - Cerebellum, Adipose -Subcutaneous, Heart - Left Ventricle, Thyroid), </t>
    </r>
    <r>
      <rPr>
        <i/>
        <sz val="11"/>
        <color theme="1"/>
        <rFont val="Calibri"/>
        <family val="2"/>
        <scheme val="minor"/>
      </rPr>
      <t>CDIP1</t>
    </r>
    <r>
      <rPr>
        <sz val="11"/>
        <color theme="1"/>
        <rFont val="Calibri"/>
        <family val="2"/>
        <scheme val="minor"/>
      </rPr>
      <t xml:space="preserve"> (Cells - Transformed fibroblasts, Brain - Cerebella Hemisphere, Brain - Cerebellum, Thyroid), </t>
    </r>
    <r>
      <rPr>
        <i/>
        <sz val="11"/>
        <color theme="1"/>
        <rFont val="Calibri"/>
        <family val="2"/>
        <scheme val="minor"/>
      </rPr>
      <t xml:space="preserve">PAM16 </t>
    </r>
    <r>
      <rPr>
        <sz val="11"/>
        <color theme="1"/>
        <rFont val="Calibri"/>
        <family val="2"/>
        <scheme val="minor"/>
      </rPr>
      <t>(Thyroid, Nerve - Tibial, Adipose - Subcutaneous)</t>
    </r>
  </si>
  <si>
    <t>Testes, Whole Blood</t>
  </si>
  <si>
    <t>works with TGF-B to modulate areterial response to injury. Expressed in arterial smooth muscles (PMID: 15247411)</t>
  </si>
  <si>
    <t>Adrenal Gland, Cells - EBV Transformed lymphocytes, Muscle - Skeletal ,Testes, Liver</t>
  </si>
  <si>
    <t>involved in post translational processing of proteins (folding, complex assembly).</t>
  </si>
  <si>
    <t>R222P</t>
  </si>
  <si>
    <r>
      <t xml:space="preserve">LRRC36 </t>
    </r>
    <r>
      <rPr>
        <sz val="11"/>
        <color theme="1"/>
        <rFont val="Calibri"/>
        <family val="2"/>
        <scheme val="minor"/>
      </rPr>
      <t xml:space="preserve">(Muscle - Skeletal, Pancreas, Thyroid, Adipose - Visceral (Omentum)), </t>
    </r>
    <r>
      <rPr>
        <i/>
        <sz val="11"/>
        <color theme="1"/>
        <rFont val="Calibri"/>
        <family val="2"/>
        <scheme val="minor"/>
      </rPr>
      <t xml:space="preserve">HSD11B2 </t>
    </r>
    <r>
      <rPr>
        <sz val="11"/>
        <color theme="1"/>
        <rFont val="Calibri"/>
        <family val="2"/>
        <scheme val="minor"/>
      </rPr>
      <t xml:space="preserve">(Thyroid), </t>
    </r>
    <r>
      <rPr>
        <i/>
        <sz val="11"/>
        <color theme="1"/>
        <rFont val="Calibri"/>
        <family val="2"/>
        <scheme val="minor"/>
      </rPr>
      <t xml:space="preserve">ATP6V0D1 </t>
    </r>
    <r>
      <rPr>
        <sz val="11"/>
        <color theme="1"/>
        <rFont val="Calibri"/>
        <family val="2"/>
        <scheme val="minor"/>
      </rPr>
      <t xml:space="preserve">(Whole Blood), </t>
    </r>
    <r>
      <rPr>
        <i/>
        <sz val="11"/>
        <color theme="1"/>
        <rFont val="Calibri"/>
        <family val="2"/>
        <scheme val="minor"/>
      </rPr>
      <t xml:space="preserve">AC009061.1 </t>
    </r>
    <r>
      <rPr>
        <sz val="11"/>
        <color theme="1"/>
        <rFont val="Calibri"/>
        <family val="2"/>
        <scheme val="minor"/>
      </rPr>
      <t xml:space="preserve">(Thyroid), </t>
    </r>
    <r>
      <rPr>
        <i/>
        <sz val="11"/>
        <color theme="1"/>
        <rFont val="Calibri"/>
        <family val="2"/>
        <scheme val="minor"/>
      </rPr>
      <t xml:space="preserve">RANBP10 </t>
    </r>
    <r>
      <rPr>
        <sz val="11"/>
        <color theme="1"/>
        <rFont val="Calibri"/>
        <family val="2"/>
        <scheme val="minor"/>
      </rPr>
      <t>(Nerve - Tibial)</t>
    </r>
  </si>
  <si>
    <t>Testes, Lung, Pituitary, Brain - Hypothalamus, Brain - Putamen, Brain - Caudate, Pancreas</t>
  </si>
  <si>
    <t>Very little in known about the function of this gene.</t>
  </si>
  <si>
    <t>G509S</t>
  </si>
  <si>
    <r>
      <t xml:space="preserve">LRRC36 </t>
    </r>
    <r>
      <rPr>
        <sz val="11"/>
        <color theme="1"/>
        <rFont val="Calibri"/>
        <family val="2"/>
        <scheme val="minor"/>
      </rPr>
      <t xml:space="preserve">(Muscle - Skeletal, Pancreas, Thyroid, Adipose - Visceral (omentum)), </t>
    </r>
    <r>
      <rPr>
        <i/>
        <sz val="11"/>
        <color theme="1"/>
        <rFont val="Calibri"/>
        <family val="2"/>
        <scheme val="minor"/>
      </rPr>
      <t>HSD11B2</t>
    </r>
    <r>
      <rPr>
        <sz val="11"/>
        <color theme="1"/>
        <rFont val="Calibri"/>
        <family val="2"/>
        <scheme val="minor"/>
      </rPr>
      <t xml:space="preserve"> (Thyroid), </t>
    </r>
    <r>
      <rPr>
        <i/>
        <sz val="11"/>
        <color theme="1"/>
        <rFont val="Calibri"/>
        <family val="2"/>
        <scheme val="minor"/>
      </rPr>
      <t>ATP6V0D1</t>
    </r>
    <r>
      <rPr>
        <sz val="11"/>
        <color theme="1"/>
        <rFont val="Calibri"/>
        <family val="2"/>
        <scheme val="minor"/>
      </rPr>
      <t xml:space="preserve"> (Whole Blood), </t>
    </r>
    <r>
      <rPr>
        <i/>
        <sz val="11"/>
        <color theme="1"/>
        <rFont val="Calibri"/>
        <family val="2"/>
        <scheme val="minor"/>
      </rPr>
      <t>AC009061.1</t>
    </r>
    <r>
      <rPr>
        <sz val="11"/>
        <color theme="1"/>
        <rFont val="Calibri"/>
        <family val="2"/>
        <scheme val="minor"/>
      </rPr>
      <t xml:space="preserve"> (Thyroid), </t>
    </r>
    <r>
      <rPr>
        <i/>
        <sz val="11"/>
        <color theme="1"/>
        <rFont val="Calibri"/>
        <family val="2"/>
        <scheme val="minor"/>
      </rPr>
      <t>RANBP10</t>
    </r>
    <r>
      <rPr>
        <sz val="11"/>
        <color theme="1"/>
        <rFont val="Calibri"/>
        <family val="2"/>
        <scheme val="minor"/>
      </rPr>
      <t xml:space="preserve"> (Nerve - Tibial)</t>
    </r>
  </si>
  <si>
    <t xml:space="preserve"> no</t>
  </si>
  <si>
    <t>Interferon-Gamma-Inducible Protein 30</t>
  </si>
  <si>
    <r>
      <t xml:space="preserve">MPV17L2 </t>
    </r>
    <r>
      <rPr>
        <sz val="11"/>
        <color theme="1"/>
        <rFont val="Calibri"/>
        <family val="2"/>
        <scheme val="minor"/>
      </rPr>
      <t>(Cells - Transformed fibroblasts)</t>
    </r>
  </si>
  <si>
    <t>no significant eQTLs</t>
  </si>
  <si>
    <r>
      <t xml:space="preserve">Function: Lysosomal thiol reductase that can reduce protein disulfide bonds. May facilitate the complete unfolding of proteins destined for lysosomal degradation. Plays important role in antigen processing. Severely obese individuals heterozygous for this variant had lower risk (OR = 0.67; P = 0.0009) for hyperglycemia/diabetes compared to major allele homozygotes. No association was seen between this variant and </t>
    </r>
    <r>
      <rPr>
        <i/>
        <sz val="11"/>
        <color theme="1"/>
        <rFont val="Calibri"/>
        <family val="2"/>
        <scheme val="minor"/>
      </rPr>
      <t>IFI30</t>
    </r>
    <r>
      <rPr>
        <sz val="11"/>
        <color theme="1"/>
        <rFont val="Calibri"/>
        <family val="2"/>
        <scheme val="minor"/>
      </rPr>
      <t xml:space="preserve"> mRNA levels in visceral adipose, and expression was not correlated with fasting plasma glucose.  [PMID:21701784].
 </t>
    </r>
  </si>
  <si>
    <t>Mitochondrial Inner Membrane Protein Like 2</t>
  </si>
  <si>
    <r>
      <t xml:space="preserve">MPV17L2 </t>
    </r>
    <r>
      <rPr>
        <sz val="11"/>
        <color theme="1"/>
        <rFont val="Calibri"/>
        <family val="2"/>
        <scheme val="minor"/>
      </rPr>
      <t>(Cells - Transformed fibroblasts)</t>
    </r>
    <r>
      <rPr>
        <i/>
        <sz val="11"/>
        <color theme="1"/>
        <rFont val="Calibri"/>
        <family val="2"/>
        <scheme val="minor"/>
      </rPr>
      <t/>
    </r>
  </si>
  <si>
    <t>adrenal gland, pituitary, sigmoid colon</t>
  </si>
  <si>
    <t>Required for the assembly and stability of the mitochondrial ribosome [PMID:24948607]. Positive regulator of mitochondrial protein synthesis [PMID:24948607].</t>
  </si>
  <si>
    <t>Ras Interacting Protein 1</t>
  </si>
  <si>
    <r>
      <t>FUT2</t>
    </r>
    <r>
      <rPr>
        <sz val="11"/>
        <color theme="1"/>
        <rFont val="Calibri"/>
        <family val="2"/>
        <scheme val="minor"/>
      </rPr>
      <t xml:space="preserve"> (Esophagus - Mucosa, Pancreas, Stomach, Skin - Not Sun Exposed (Suprapubic), Cells-Transformed fibroblasts), </t>
    </r>
    <r>
      <rPr>
        <i/>
        <sz val="11"/>
        <color theme="1"/>
        <rFont val="Calibri"/>
        <family val="2"/>
        <scheme val="minor"/>
      </rPr>
      <t>RASIP1</t>
    </r>
    <r>
      <rPr>
        <sz val="11"/>
        <color theme="1"/>
        <rFont val="Calibri"/>
        <family val="2"/>
        <scheme val="minor"/>
      </rPr>
      <t xml:space="preserve"> (Cells - Transformed fibroblasts, Testis, Esophagus - Mucosa, Skin - Sun Exposed (Lower Leg)), </t>
    </r>
    <r>
      <rPr>
        <i/>
        <sz val="11"/>
        <color theme="1"/>
        <rFont val="Calibri"/>
        <family val="2"/>
        <scheme val="minor"/>
      </rPr>
      <t>NTN5</t>
    </r>
    <r>
      <rPr>
        <sz val="11"/>
        <color theme="1"/>
        <rFont val="Calibri"/>
        <family val="2"/>
        <scheme val="minor"/>
      </rPr>
      <t xml:space="preserve"> (Skin - Sun Exposed (Lower Leg), Thyroid), </t>
    </r>
    <r>
      <rPr>
        <i/>
        <sz val="11"/>
        <color theme="1"/>
        <rFont val="Calibri"/>
        <family val="2"/>
        <scheme val="minor"/>
      </rPr>
      <t>MAMSTR</t>
    </r>
    <r>
      <rPr>
        <sz val="11"/>
        <color theme="1"/>
        <rFont val="Calibri"/>
        <family val="2"/>
        <scheme val="minor"/>
      </rPr>
      <t xml:space="preserve"> (Heart - Atrial Appendage, Heart - left Ventricle), </t>
    </r>
    <r>
      <rPr>
        <i/>
        <sz val="11"/>
        <color theme="1"/>
        <rFont val="Calibri"/>
        <family val="2"/>
        <scheme val="minor"/>
      </rPr>
      <t>IZUMO1</t>
    </r>
    <r>
      <rPr>
        <sz val="11"/>
        <color theme="1"/>
        <rFont val="Calibri"/>
        <family val="2"/>
        <scheme val="minor"/>
      </rPr>
      <t xml:space="preserve">(Adrenal Gland, Testis), </t>
    </r>
    <r>
      <rPr>
        <i/>
        <sz val="11"/>
        <color theme="1"/>
        <rFont val="Calibri"/>
        <family val="2"/>
        <scheme val="minor"/>
      </rPr>
      <t xml:space="preserve">SEC1P </t>
    </r>
    <r>
      <rPr>
        <sz val="11"/>
        <color theme="1"/>
        <rFont val="Calibri"/>
        <family val="2"/>
        <scheme val="minor"/>
      </rPr>
      <t>(Thyroid)</t>
    </r>
  </si>
  <si>
    <t>lung, spleen, adipose</t>
  </si>
  <si>
    <t>Function: Required for proper formation of vascular structures that develop via both vasculogenesis and angiogenesis. Acts as a critical and vascular-specific regulator of GTPase signaling, cell architecture, and adhesion, which is essential for endothelial cell morphogenesis and blood vessel tubulogenesis [PMID: 23798437, 15031288].</t>
  </si>
  <si>
    <t>Izumo Sperm-Egg Fusion 1</t>
  </si>
  <si>
    <r>
      <t>FUT2</t>
    </r>
    <r>
      <rPr>
        <sz val="11"/>
        <color theme="1"/>
        <rFont val="Calibri"/>
        <family val="2"/>
        <scheme val="minor"/>
      </rPr>
      <t xml:space="preserve"> (Esophagus - Mucosa, Pancreas, Stomach, Skin - Not Sun Exposed (Suprapubic),  Skin - Sun Exposed (Lower Leg),</t>
    </r>
    <r>
      <rPr>
        <i/>
        <sz val="11"/>
        <color theme="1"/>
        <rFont val="Calibri"/>
        <family val="2"/>
        <scheme val="minor"/>
      </rPr>
      <t xml:space="preserve"> IZUMO1</t>
    </r>
    <r>
      <rPr>
        <sz val="11"/>
        <color theme="1"/>
        <rFont val="Calibri"/>
        <family val="2"/>
        <scheme val="minor"/>
      </rPr>
      <t xml:space="preserve"> (Lung, Esophagus - Mucosa, Adrenal Gland, Adipose - Subcutaneous, Adipose - Visceral (Omentum), Heart - Atrial Appendage, Heart - Left Ventricle, Testis, Skin - Sun Exposed (Lower Leg), Thyroid, Stomach, Muscle - Skeletal), </t>
    </r>
    <r>
      <rPr>
        <i/>
        <sz val="11"/>
        <color theme="1"/>
        <rFont val="Calibri"/>
        <family val="2"/>
        <scheme val="minor"/>
      </rPr>
      <t>MAMSTR</t>
    </r>
    <r>
      <rPr>
        <sz val="11"/>
        <color theme="1"/>
        <rFont val="Calibri"/>
        <family val="2"/>
        <scheme val="minor"/>
      </rPr>
      <t xml:space="preserve"> (Heart - Left Ventricle, Heart - Atrial Appendage), </t>
    </r>
    <r>
      <rPr>
        <i/>
        <sz val="11"/>
        <color theme="1"/>
        <rFont val="Calibri"/>
        <family val="2"/>
        <scheme val="minor"/>
      </rPr>
      <t xml:space="preserve">NTN5 </t>
    </r>
    <r>
      <rPr>
        <sz val="11"/>
        <color theme="1"/>
        <rFont val="Calibri"/>
        <family val="2"/>
        <scheme val="minor"/>
      </rPr>
      <t xml:space="preserve">(Skin - Sun Exposed (Lower Leg), Testis), </t>
    </r>
    <r>
      <rPr>
        <i/>
        <sz val="11"/>
        <color theme="1"/>
        <rFont val="Calibri"/>
        <family val="2"/>
        <scheme val="minor"/>
      </rPr>
      <t>RASIP1</t>
    </r>
    <r>
      <rPr>
        <sz val="11"/>
        <color theme="1"/>
        <rFont val="Calibri"/>
        <family val="2"/>
        <scheme val="minor"/>
      </rPr>
      <t xml:space="preserve"> (Cells - Transformed Fibroblasts, Skin - Sun Exposed (Lower Leg), Esophagus - Mucosa, Stomach)</t>
    </r>
  </si>
  <si>
    <t>suggestive and directionally consistent in All ancestry sex combined. Increase in sample size/direct genotyping.</t>
  </si>
  <si>
    <t>testis, pancreas, lung, stomach</t>
  </si>
  <si>
    <t>Essential for sperm-egg plasma membrane binding and fusion [PubMed 15759005].</t>
  </si>
  <si>
    <t>Ubiquinol-Cytochrome C Reductase Complex Assembly Factor 1</t>
  </si>
  <si>
    <r>
      <t>UQCC1</t>
    </r>
    <r>
      <rPr>
        <sz val="11"/>
        <color theme="1"/>
        <rFont val="Calibri"/>
        <family val="2"/>
        <scheme val="minor"/>
      </rPr>
      <t xml:space="preserve"> (Cells - Transformed fibroblasts, Skin - Sun Exposed Lower leg, Muscle - Skeletal, Adipose - Subcutaneous, Esophagus - Mucosa, Lung, Nerve - Tibial, Whole Blood); RPL36P4 (Cells - Transformed fibroblasts, Adipose - Subcutaneous)</t>
    </r>
  </si>
  <si>
    <t>Brain Cerebellum is highest; but expressed in moderate amounts in all tissues</t>
  </si>
  <si>
    <t>WHR [PMID: 25673412]; Height [PMID: 25282103]; ulcerative colitis [PMID: 26192919]</t>
  </si>
  <si>
    <t>Growth/differentiation factor 5</t>
  </si>
  <si>
    <r>
      <t>UQCC1</t>
    </r>
    <r>
      <rPr>
        <sz val="11"/>
        <color theme="1"/>
        <rFont val="Calibri"/>
        <family val="2"/>
        <scheme val="minor"/>
      </rPr>
      <t xml:space="preserve"> (Cells - Transformed fibroblasts, Muscle - Skeletal, Esophagus - Mucosa, Adipose - Subcutaneous, Lung, Skin - Sun Exposed Lower leg, Nerve - Tibial); RPL36P4 (Cells - Transformed fibroblasts, Adipose - Subcutaneous); GCF5 (Lung)</t>
    </r>
  </si>
  <si>
    <t>low to no expression in most tissues; higher in salivary glands; transformed fibroblasts cells</t>
  </si>
  <si>
    <t>Grebe syndrome;Brachydactyly type C</t>
  </si>
  <si>
    <r>
      <t xml:space="preserve">R3H Domain Containing Like </t>
    </r>
    <r>
      <rPr>
        <sz val="11"/>
        <rFont val="Calibri"/>
        <family val="2"/>
        <scheme val="minor"/>
      </rPr>
      <t xml:space="preserve">has peptidase inhibitor activity </t>
    </r>
  </si>
  <si>
    <t>low to no expression in most tissues; highest in colon and small intestine</t>
  </si>
  <si>
    <t>HDL cholesterol (low frequency variants) [PMID:25961943]; Type 2 diabetes [PMID:24509480]; total cholesterol [PMID:24097068]; inflammatory bolwer diseases and ulcerative colitis[PMID:26192919]</t>
  </si>
  <si>
    <t>phosphatidylethanolamine N-methyltransferase</t>
  </si>
  <si>
    <t>V95L</t>
  </si>
  <si>
    <r>
      <t>PEMT</t>
    </r>
    <r>
      <rPr>
        <sz val="11"/>
        <color theme="1"/>
        <rFont val="Calibri"/>
        <family val="2"/>
        <scheme val="minor"/>
      </rPr>
      <t xml:space="preserve"> (Adipose - Subcutaneous)</t>
    </r>
  </si>
  <si>
    <t>kidney; breast; subcutaneous adipose</t>
  </si>
  <si>
    <t>coronary artery disease [PMID:24262325]; WHR [PMID:25673412]</t>
  </si>
  <si>
    <t>aspartyl-tRNA synthetase 2, mitochondrial</t>
  </si>
  <si>
    <t>Cells-EBV-transformed lymphocytes, Adrenal Gland, Colon-Transverse</t>
  </si>
  <si>
    <t>Leukoencephalopathy with brain stem and spinal cord involvement and lactate elevation</t>
  </si>
  <si>
    <t>DARS2 encodes for mtAspRS (mitochondrial aspartyl-tRNA synthetase), belonging to the class-II aminoacyl-tRNA synthetase family. It is ubiquitously expressed and plays an essential role in mitochondrial protein translation. mtAspRS is responsible for attaching the amino acid aspartate to the correct tRNA in mitochondria [PMID: 23216004]. Mutations in this gene are associated with leukoencephalopathy with brainstem and spinal cord involvement and lactate elevation (LBSL) [PMID: 24566671].</t>
  </si>
  <si>
    <t>AT-Rich Interaction Domain 4A</t>
  </si>
  <si>
    <t>Lack of power/smaller sample size: N=141,799; P=0.032; beta=0.0092 in Nature GWAS</t>
  </si>
  <si>
    <t>moderate expression in all tissues; highest in brain- cerebellar hemisphere and subcutaneous adipose</t>
  </si>
  <si>
    <r>
      <t xml:space="preserve">PLA2GB </t>
    </r>
    <r>
      <rPr>
        <sz val="11"/>
        <color theme="1"/>
        <rFont val="Calibri"/>
        <family val="2"/>
        <scheme val="minor"/>
      </rPr>
      <t xml:space="preserve">(Skin - Sun Exposed (Lower leg), Skin - Not Sun Exposed (Suprapubic), Thyroid), </t>
    </r>
    <r>
      <rPr>
        <i/>
        <sz val="11"/>
        <color theme="1"/>
        <rFont val="Calibri"/>
        <family val="2"/>
        <scheme val="minor"/>
      </rPr>
      <t xml:space="preserve">JMJD7 </t>
    </r>
    <r>
      <rPr>
        <sz val="11"/>
        <color theme="1"/>
        <rFont val="Calibri"/>
        <family val="2"/>
        <scheme val="minor"/>
      </rPr>
      <t xml:space="preserve">(Skin - Sun Exposed (Lower leg)), </t>
    </r>
    <r>
      <rPr>
        <i/>
        <sz val="11"/>
        <color theme="1"/>
        <rFont val="Calibri"/>
        <family val="2"/>
        <scheme val="minor"/>
      </rPr>
      <t xml:space="preserve"> RP11-107F6.3</t>
    </r>
    <r>
      <rPr>
        <sz val="11"/>
        <color theme="1"/>
        <rFont val="Calibri"/>
        <family val="2"/>
        <scheme val="minor"/>
      </rPr>
      <t xml:space="preserve"> (Cells - Transformed fibroblasts), </t>
    </r>
    <r>
      <rPr>
        <i/>
        <sz val="11"/>
        <color theme="1"/>
        <rFont val="Calibri"/>
        <family val="2"/>
        <scheme val="minor"/>
      </rPr>
      <t xml:space="preserve">RPAP1 </t>
    </r>
    <r>
      <rPr>
        <sz val="11"/>
        <color theme="1"/>
        <rFont val="Calibri"/>
        <family val="2"/>
        <scheme val="minor"/>
      </rPr>
      <t xml:space="preserve">(Cells - Transformed fibroblasts), </t>
    </r>
    <r>
      <rPr>
        <i/>
        <sz val="11"/>
        <color theme="1"/>
        <rFont val="Calibri"/>
        <family val="2"/>
        <scheme val="minor"/>
      </rPr>
      <t>SPTBN5</t>
    </r>
    <r>
      <rPr>
        <sz val="11"/>
        <color theme="1"/>
        <rFont val="Calibri"/>
        <family val="2"/>
        <scheme val="minor"/>
      </rPr>
      <t xml:space="preserve"> (Artery - Aorta)</t>
    </r>
  </si>
  <si>
    <t xml:space="preserve">this is part of the sex combined analysis for MGA </t>
  </si>
  <si>
    <t>Brain - Cerebellum, Brain - Cerebellar Hemisphere, Testes</t>
  </si>
  <si>
    <t>enhances JNK signalling (PMID: 10471813)</t>
  </si>
  <si>
    <t>All Ancestry Additive Model Men Only, Not in Combined Sexes Analyses</t>
  </si>
  <si>
    <t>UDP-Glucose Glycoprotein Glucosyltransferase 2</t>
  </si>
  <si>
    <t xml:space="preserve">Artery- Tibial, cells- tranformed fibroblasts, nerve- tibial, artery- aorta, artery- coronary, adipose- subcutansous, ubiquitously expressed
</t>
  </si>
  <si>
    <t>Matrix Metallopeptidase 14</t>
  </si>
  <si>
    <t>Lack of power/smaller sample size: N=79965; P=0.089; beta=0.017 in Nature GWAS</t>
  </si>
  <si>
    <t>low expression in most tissues; highest in subcutaneous adipose, transformed fibroblast cells</t>
  </si>
  <si>
    <t>Winchester syndrome</t>
  </si>
  <si>
    <t>All Ancestry Additive Model Women Only, Not in Combined Sexes Analyses</t>
  </si>
  <si>
    <t>dual serine/threonine and tyrosine protein kinase</t>
  </si>
  <si>
    <t>RP11-383G10.5 (Testis)</t>
  </si>
  <si>
    <t>Lack of power/smaller sample size: P=9.05E-8 in Nature GWAS</t>
  </si>
  <si>
    <t>Brain-Cerebellar Hemisphere, Brain-Cerebellum, Brain-Frontal Cortex (BA9)</t>
  </si>
  <si>
    <t>Congenital anomalies of kidney and urinary tract</t>
  </si>
  <si>
    <t>This gene encodes a dual serine/threonine and tyrosine protein kinase which is expressed in multiple tissues [PMID: 17123648]. It is suggested that it may induce both caspase-dependent apoptosis and caspase-independent cell death [PMID: 15178406]. Mutation in this gene is associated with congenital abnormalities of the kidney or urinary tract [PMID: 23862974].</t>
  </si>
  <si>
    <t>Angiopoietin Like 4</t>
  </si>
  <si>
    <t>adipose, breast</t>
  </si>
  <si>
    <t>Function: Encodes a glycosylated, secreted protein containing a C-terminal fibrinogen domain. The encoded protein is induced by peroxisome proliferation activators and functions as a serum hormone that regulates glucose homeostasis, lipid metabolism [PMID: 25809481, 24591600], and insulin sensitivity [PMID: 22972030]. This protein can also act as an apoptosis survival factor for vascular endothelial cells. Associated with decreased TG in T2D [PMID: 21714923]. Associated with CVD risk [PMID: 25463098].</t>
  </si>
  <si>
    <t>Abbreviations: GRCh37=human genome assembly build 37;VEP=Ensembl Variant Effect Predictor toolset; GTEx=Genotype-Tissue Expression project;SD=standard deviation; SE=standard error;N=sample size;MAF&lt;5%: minor allele frequency is less than 5%.</t>
  </si>
  <si>
    <t>b The amino acid change from the most abundant coding transcript is shown (protein annotation is based on VEP toolset and transcript abundance from GTEx database).</t>
  </si>
  <si>
    <t>c The variant falls within +-500Kb of a published variant</t>
  </si>
  <si>
    <t>e P-value for sex heterogeneity, testing for difference between women-specific and men-specific beta estimates and standard errors, was calculated using EasyStrata (Winkler, T.W. et al. EasyStrata: evaluation and visualization of stratified genome-wide association meta-analysis data. Bioinformatics 2015: 31, 259-61.)</t>
  </si>
  <si>
    <t>f SNP-Gene eQTLs in GTEx with P-value &lt;5E-08 (https://www.gtexportal.org/home/)</t>
  </si>
  <si>
    <t>g ExAC Constraint Synonymous (z): Z score for the deviation of observed counts from the expected number of sysnonymous variants (http://exac.broadinstitute.org/faq)</t>
  </si>
  <si>
    <t>h ExAC Constraint Missense (z): Z score for the deviation of observed counts from the expected number of missense variants (http://exac.broadinstitute.org/faq)</t>
  </si>
  <si>
    <t>i ExAC Constraint LoF (pLI): there are 3 classes of genes with respect to tolerance to LoF variation: null (where LoF variation is completely tolerated), recessive (where heterozygous LoFs are tolerated), and haploinsufficient (where heterozygous LoFs are not tolerated). Observed and expected variants counts are used to determine the probability that a given gene is extremely intolerant of loss-of-function variation (falls into the third category). The closer pLI is to one, the more LoF intolerant the gene appears to be. pLI &gt;= 0.9 is an extremely LoF intolerant set of genes. (http://exac.broadinstitute.org/faq)</t>
  </si>
  <si>
    <t>GIANT identified gene</t>
  </si>
  <si>
    <t>GIANT identified variant</t>
  </si>
  <si>
    <t>Chr:position</t>
  </si>
  <si>
    <t>VEP</t>
  </si>
  <si>
    <t>GTEx</t>
  </si>
  <si>
    <t>Ensembl GRCh38.7</t>
  </si>
  <si>
    <t>Transcript ID</t>
  </si>
  <si>
    <t>Transcript biotype</t>
  </si>
  <si>
    <r>
      <t>Maximum median RPKM value accross tissues</t>
    </r>
    <r>
      <rPr>
        <b/>
        <vertAlign val="superscript"/>
        <sz val="11"/>
        <rFont val="Calibri"/>
        <family val="2"/>
        <scheme val="minor"/>
      </rPr>
      <t>c</t>
    </r>
  </si>
  <si>
    <t>Maximum median RPKM tissue</t>
  </si>
  <si>
    <t>Protein ID</t>
  </si>
  <si>
    <t>Protein amino acid length</t>
  </si>
  <si>
    <t>Exon/total</t>
  </si>
  <si>
    <t>Intron/total</t>
  </si>
  <si>
    <t>Variant consequence</t>
  </si>
  <si>
    <t>Coding sequence change</t>
  </si>
  <si>
    <t>Protein sequence change</t>
  </si>
  <si>
    <t>Distance from nearest transcript (bp)</t>
  </si>
  <si>
    <t>SIFT prediction (score)</t>
  </si>
  <si>
    <t>PolyPhen prediction (score)</t>
  </si>
  <si>
    <t>LRT prediction</t>
  </si>
  <si>
    <t>MutationTaster prediction</t>
  </si>
  <si>
    <t>Global MAF</t>
  </si>
  <si>
    <t>AFR MAF</t>
  </si>
  <si>
    <t>AMR MAF</t>
  </si>
  <si>
    <t>EAS MAF</t>
  </si>
  <si>
    <t>EUR MAF</t>
  </si>
  <si>
    <t>SAS MAF</t>
  </si>
  <si>
    <t>AA MAF</t>
  </si>
  <si>
    <t>EA MAF</t>
  </si>
  <si>
    <t>ExAC MAF</t>
  </si>
  <si>
    <t>ExAC Adj MAF</t>
  </si>
  <si>
    <t>ExAC AFR MAF</t>
  </si>
  <si>
    <t>ExAC AMR MAF</t>
  </si>
  <si>
    <t>ExAC EAS MAF</t>
  </si>
  <si>
    <t>ExAC FIN MAF</t>
  </si>
  <si>
    <t>ExAC NFE MAF</t>
  </si>
  <si>
    <t>ExAC OTH MAF</t>
  </si>
  <si>
    <t>ExAC SAS MAF</t>
  </si>
  <si>
    <t>ENST00000207157</t>
  </si>
  <si>
    <t>protein_coding</t>
  </si>
  <si>
    <t>ENSP00000207157</t>
  </si>
  <si>
    <t>8/8</t>
  </si>
  <si>
    <t>missense_variant</t>
  </si>
  <si>
    <t>c.1379T&gt;G</t>
  </si>
  <si>
    <t>p.Met460Arg</t>
  </si>
  <si>
    <t>deleterious_low_confidence(0)</t>
  </si>
  <si>
    <t>benign(0.188)</t>
  </si>
  <si>
    <t>D</t>
  </si>
  <si>
    <t>C:0.0415</t>
  </si>
  <si>
    <t>C:0.0015</t>
  </si>
  <si>
    <t>C:0.0548</t>
  </si>
  <si>
    <t>C:0.0020</t>
  </si>
  <si>
    <t>C:0.0567</t>
  </si>
  <si>
    <t>C:0.1115</t>
  </si>
  <si>
    <t>C:0.0064</t>
  </si>
  <si>
    <t>C:0.0478</t>
  </si>
  <si>
    <t>C:0.044</t>
  </si>
  <si>
    <t>C:0.04414</t>
  </si>
  <si>
    <t>C:0.006439</t>
  </si>
  <si>
    <t>C:0.02776</t>
  </si>
  <si>
    <t>C:0.000348</t>
  </si>
  <si>
    <t>C:0.01861</t>
  </si>
  <si>
    <t>C:0.04749</t>
  </si>
  <si>
    <t>C:0.06938</t>
  </si>
  <si>
    <t>C:0.0975</t>
  </si>
  <si>
    <t>ENST00000369429</t>
  </si>
  <si>
    <t>37.1</t>
  </si>
  <si>
    <t>Muscle - Skeletal</t>
  </si>
  <si>
    <t>ENSP00000358437</t>
  </si>
  <si>
    <t>c.1697T&gt;G</t>
  </si>
  <si>
    <t>p.Met566Arg</t>
  </si>
  <si>
    <t>deleterious_low_confidence(0.01)</t>
  </si>
  <si>
    <t>ENST00000449873</t>
  </si>
  <si>
    <t>28.7</t>
  </si>
  <si>
    <t>ENSP00000398625</t>
  </si>
  <si>
    <t>4/4</t>
  </si>
  <si>
    <t>c.881T&gt;G</t>
  </si>
  <si>
    <t>p.Met294Arg</t>
  </si>
  <si>
    <t>deleterious(0)</t>
  </si>
  <si>
    <t>benign(0.26)</t>
  </si>
  <si>
    <t>ENSP00000207157.3</t>
  </si>
  <si>
    <t>3/8</t>
  </si>
  <si>
    <t>c.148C&gt;A</t>
  </si>
  <si>
    <t>p.His50Asn</t>
  </si>
  <si>
    <t>tolerated(0.52)</t>
  </si>
  <si>
    <t>benign(0.127)</t>
  </si>
  <si>
    <t>P</t>
  </si>
  <si>
    <t>T:0.0845</t>
  </si>
  <si>
    <t>T:0.0076</t>
  </si>
  <si>
    <t>T:0.1023</t>
  </si>
  <si>
    <t>T:0.0655</t>
  </si>
  <si>
    <t>T:0.1650</t>
  </si>
  <si>
    <t>T:0.1125</t>
  </si>
  <si>
    <t>T:0.0343</t>
  </si>
  <si>
    <t>T:0.1814</t>
  </si>
  <si>
    <t>T:0.144</t>
  </si>
  <si>
    <t>T:0.1454</t>
  </si>
  <si>
    <t>T:0.02707</t>
  </si>
  <si>
    <t>T:0.08729</t>
  </si>
  <si>
    <t>T:0.07051</t>
  </si>
  <si>
    <t>T:0.2787</t>
  </si>
  <si>
    <t>T:0.1821</t>
  </si>
  <si>
    <t>T:0.1481</t>
  </si>
  <si>
    <t>T:0.09802</t>
  </si>
  <si>
    <t>ENSP00000358437.3</t>
  </si>
  <si>
    <t>c.466C&gt;A</t>
  </si>
  <si>
    <t>p.His156Asn</t>
  </si>
  <si>
    <t>tolerated(0.31)</t>
  </si>
  <si>
    <t>ENST00000292176</t>
  </si>
  <si>
    <t>Small intestine - Terminal ileum</t>
  </si>
  <si>
    <t>ENSP00000292176</t>
  </si>
  <si>
    <t>1/2</t>
  </si>
  <si>
    <t>c.568C&gt;T</t>
  </si>
  <si>
    <t>p.Pro190Ser</t>
  </si>
  <si>
    <t>tolerated(0.55)</t>
  </si>
  <si>
    <t>benign(0.021)</t>
  </si>
  <si>
    <t>T:0.0074</t>
  </si>
  <si>
    <t>T:0.0008</t>
  </si>
  <si>
    <t>T:0.0058</t>
  </si>
  <si>
    <t>T:0.0000</t>
  </si>
  <si>
    <t>T:0.0298</t>
  </si>
  <si>
    <t>T:0.0020</t>
  </si>
  <si>
    <t>T:0.0034</t>
  </si>
  <si>
    <t>T:0.0228</t>
  </si>
  <si>
    <t>T:0.020</t>
  </si>
  <si>
    <t>T:0.02011</t>
  </si>
  <si>
    <t>T:0.003925</t>
  </si>
  <si>
    <t>T:0.005223</t>
  </si>
  <si>
    <t>T:0</t>
  </si>
  <si>
    <t>T:0.07</t>
  </si>
  <si>
    <t>T:0.02747</t>
  </si>
  <si>
    <t>T:0.0205</t>
  </si>
  <si>
    <t>T:0.001463</t>
  </si>
  <si>
    <t>ENST00000368426</t>
  </si>
  <si>
    <t>Skin - sun exposed</t>
  </si>
  <si>
    <t>ENSP00000357411</t>
  </si>
  <si>
    <t>3/4</t>
  </si>
  <si>
    <t>ENST00000417934</t>
  </si>
  <si>
    <t>Esophagus - Mucosa</t>
  </si>
  <si>
    <t>ENSP00000406286</t>
  </si>
  <si>
    <t>4/5</t>
  </si>
  <si>
    <t>c.670C&gt;T</t>
  </si>
  <si>
    <t>p.Pro224Ser</t>
  </si>
  <si>
    <t>tolerated(0.6)</t>
  </si>
  <si>
    <t>probably_damaging(0.932)</t>
  </si>
  <si>
    <t>ENST00000535420</t>
  </si>
  <si>
    <t>Cells - EBV-transformed lymphocytes</t>
  </si>
  <si>
    <t>ENSP00000438647</t>
  </si>
  <si>
    <t>2/3</t>
  </si>
  <si>
    <t>ENST00000361951</t>
  </si>
  <si>
    <t>22.8</t>
  </si>
  <si>
    <t>ENSP00000355086</t>
  </si>
  <si>
    <t>6/17</t>
  </si>
  <si>
    <t>c.587A&gt;G</t>
  </si>
  <si>
    <t>p.Lys196Arg</t>
  </si>
  <si>
    <t>tolerated(0.34)</t>
  </si>
  <si>
    <t>benign(0.012)</t>
  </si>
  <si>
    <t>G:0.0242</t>
  </si>
  <si>
    <t>G:0.0885</t>
  </si>
  <si>
    <t>G:0.0058</t>
  </si>
  <si>
    <t>G:0.0000</t>
  </si>
  <si>
    <t>G:0.0844</t>
  </si>
  <si>
    <t>G:0.0003</t>
  </si>
  <si>
    <t>G:7.446e-03</t>
  </si>
  <si>
    <t>G:0.007448</t>
  </si>
  <si>
    <t>G:0.08256</t>
  </si>
  <si>
    <t>G:0.002591</t>
  </si>
  <si>
    <t>G:0</t>
  </si>
  <si>
    <t>G:0.0001349</t>
  </si>
  <si>
    <t>G:0.005507</t>
  </si>
  <si>
    <t>G:6.059e-05</t>
  </si>
  <si>
    <t>ENST00000367161</t>
  </si>
  <si>
    <t>3.3</t>
  </si>
  <si>
    <t>Brain - Cerebellar hemisphere</t>
  </si>
  <si>
    <t>ENSP00000356129</t>
  </si>
  <si>
    <t>7/12</t>
  </si>
  <si>
    <t>c.1921T&gt;C</t>
  </si>
  <si>
    <t>p.Cys641Arg</t>
  </si>
  <si>
    <t>tolerated(0.23)</t>
  </si>
  <si>
    <t>benign(0)</t>
  </si>
  <si>
    <t>A:0.0389</t>
  </si>
  <si>
    <t>G:0.9947</t>
  </si>
  <si>
    <t>G:0.9424</t>
  </si>
  <si>
    <t>G:0.8946</t>
  </si>
  <si>
    <t>G:0.9571</t>
  </si>
  <si>
    <t>G:0.9798</t>
  </si>
  <si>
    <t>G:0.9048</t>
  </si>
  <si>
    <t>G:0.932</t>
  </si>
  <si>
    <t>G:0.9317</t>
  </si>
  <si>
    <t>G:0.985</t>
  </si>
  <si>
    <t>G:0.9681</t>
  </si>
  <si>
    <t>G:1</t>
  </si>
  <si>
    <t>G:0.9253</t>
  </si>
  <si>
    <t>G:0.905</t>
  </si>
  <si>
    <t>G:0.9042</t>
  </si>
  <si>
    <t>G:0.9485</t>
  </si>
  <si>
    <t>ENST00000367162</t>
  </si>
  <si>
    <t xml:space="preserve">2.4 </t>
  </si>
  <si>
    <t>Testis</t>
  </si>
  <si>
    <t>ENSP00000356130</t>
  </si>
  <si>
    <t>7/13</t>
  </si>
  <si>
    <t>tolerated(0.18)</t>
  </si>
  <si>
    <t>ENST00000615388</t>
  </si>
  <si>
    <t>ENSP00000478016</t>
  </si>
  <si>
    <t>5/6</t>
  </si>
  <si>
    <t>c.304T&gt;C</t>
  </si>
  <si>
    <t>p.Cys102Arg</t>
  </si>
  <si>
    <t>tolerated(0.54)</t>
  </si>
  <si>
    <t>ENST00000243349</t>
  </si>
  <si>
    <t>7.0</t>
  </si>
  <si>
    <t>Adipose - Subcutaneous</t>
  </si>
  <si>
    <t>ENSP00000243349</t>
  </si>
  <si>
    <t>3/9</t>
  </si>
  <si>
    <t>c.448A&gt;C</t>
  </si>
  <si>
    <t>p.Asn150His</t>
  </si>
  <si>
    <t>tolerated(0.28)</t>
  </si>
  <si>
    <t>possibly_damaging(0.453)</t>
  </si>
  <si>
    <t>G:0.0036</t>
  </si>
  <si>
    <t>G:0.0008</t>
  </si>
  <si>
    <t>G:0.0010</t>
  </si>
  <si>
    <t>G:0.0149</t>
  </si>
  <si>
    <t>G:0.0027</t>
  </si>
  <si>
    <t>G:0.0107</t>
  </si>
  <si>
    <t>G:6.013e-03</t>
  </si>
  <si>
    <t>G:0.006037</t>
  </si>
  <si>
    <t>G:0.002508</t>
  </si>
  <si>
    <t>G:0.002782</t>
  </si>
  <si>
    <t>G:0.001061</t>
  </si>
  <si>
    <t>G:0.009474</t>
  </si>
  <si>
    <t>G:0.003319</t>
  </si>
  <si>
    <t>G:0.00201</t>
  </si>
  <si>
    <t>ENST00000335450</t>
  </si>
  <si>
    <t>ENSP00000335178</t>
  </si>
  <si>
    <t>2/7</t>
  </si>
  <si>
    <t>intron_variant</t>
  </si>
  <si>
    <t>c.305-5797A&gt;C</t>
  </si>
  <si>
    <t>ENST00000348328</t>
  </si>
  <si>
    <t>ENSP00000335139</t>
  </si>
  <si>
    <t>2/6</t>
  </si>
  <si>
    <t>c.305-11577A&gt;C</t>
  </si>
  <si>
    <t>ENST00000409680</t>
  </si>
  <si>
    <t>ENSP00000387168</t>
  </si>
  <si>
    <t>c.298A&gt;C</t>
  </si>
  <si>
    <t>p.Asn100His</t>
  </si>
  <si>
    <t>tolerated(0.27)</t>
  </si>
  <si>
    <t>ENST00000342193</t>
  </si>
  <si>
    <t>ENSP00000341360</t>
  </si>
  <si>
    <t>12/14</t>
  </si>
  <si>
    <t>c.2815A&gt;G</t>
  </si>
  <si>
    <t>p.Asn939Asp</t>
  </si>
  <si>
    <t>tolerated(0.07)</t>
  </si>
  <si>
    <t>benign(0.065)</t>
  </si>
  <si>
    <t>C:0.1074</t>
  </si>
  <si>
    <t>C:0.1861</t>
  </si>
  <si>
    <t>C:0.0821</t>
  </si>
  <si>
    <t>C:0.0010</t>
  </si>
  <si>
    <t>C:0.1541</t>
  </si>
  <si>
    <t>C:0.0808</t>
  </si>
  <si>
    <t>C:0.1559</t>
  </si>
  <si>
    <t>C:0.1249</t>
  </si>
  <si>
    <t>C:0.110</t>
  </si>
  <si>
    <t>C:0.1103</t>
  </si>
  <si>
    <t>C:0.1591</t>
  </si>
  <si>
    <t>C:0.06339</t>
  </si>
  <si>
    <t>C:0.0006941</t>
  </si>
  <si>
    <t>C:0.09286</t>
  </si>
  <si>
    <t>C:0.1276</t>
  </si>
  <si>
    <t>C:0.1112</t>
  </si>
  <si>
    <t>C:0.1068</t>
  </si>
  <si>
    <t>ENST00000375458</t>
  </si>
  <si>
    <t>11.5</t>
  </si>
  <si>
    <t>Adrenal glands</t>
  </si>
  <si>
    <t>ENSP00000364607</t>
  </si>
  <si>
    <t>11/13</t>
  </si>
  <si>
    <t>c.2701A&gt;G</t>
  </si>
  <si>
    <t>p.Asn901Asp</t>
  </si>
  <si>
    <t>benign(0.373)</t>
  </si>
  <si>
    <t>ENST00000392717</t>
  </si>
  <si>
    <t>5.5</t>
  </si>
  <si>
    <t>ENSP00000376478</t>
  </si>
  <si>
    <t>13/15</t>
  </si>
  <si>
    <t>c.2929A&gt;G</t>
  </si>
  <si>
    <t>p.Asn977Asp</t>
  </si>
  <si>
    <t>ENST00000409184</t>
  </si>
  <si>
    <t>37.9</t>
  </si>
  <si>
    <t>ENSP00000387326</t>
  </si>
  <si>
    <t>c.2820A&gt;G</t>
  </si>
  <si>
    <t>p.Asn941Asp</t>
  </si>
  <si>
    <t>tolerated(0.06)</t>
  </si>
  <si>
    <t>ENST00000629362</t>
  </si>
  <si>
    <t>ENSP00000487041</t>
  </si>
  <si>
    <t>15/17</t>
  </si>
  <si>
    <t>c.3016A&gt;G</t>
  </si>
  <si>
    <t>p.Asn1006Asp</t>
  </si>
  <si>
    <t>benign(0.138)</t>
  </si>
  <si>
    <t>ENST00000233156</t>
  </si>
  <si>
    <t>37.8</t>
  </si>
  <si>
    <t>Lung</t>
  </si>
  <si>
    <t>ENSP00000233156</t>
  </si>
  <si>
    <t>6/7</t>
  </si>
  <si>
    <t>c.628+5354A&gt;G</t>
  </si>
  <si>
    <t>C:0.2817</t>
  </si>
  <si>
    <t>C:0.3850</t>
  </si>
  <si>
    <t>C:0.2651</t>
  </si>
  <si>
    <t>C:0.1438</t>
  </si>
  <si>
    <t>C:0.3002</t>
  </si>
  <si>
    <t>C:0.2771</t>
  </si>
  <si>
    <t>C:0.3468</t>
  </si>
  <si>
    <t>C:0.3105</t>
  </si>
  <si>
    <t>C:0.293</t>
  </si>
  <si>
    <t>C:0.2934</t>
  </si>
  <si>
    <t>C:0.3568</t>
  </si>
  <si>
    <t>C:0.1833</t>
  </si>
  <si>
    <t>C:0.1294</t>
  </si>
  <si>
    <t>C:0.2973</t>
  </si>
  <si>
    <t>C:0.3217</t>
  </si>
  <si>
    <t>C:0.3093</t>
  </si>
  <si>
    <t>C:0.2987</t>
  </si>
  <si>
    <t>ENST00000339091</t>
  </si>
  <si>
    <t>8.1</t>
  </si>
  <si>
    <t>ENSP00000342306</t>
  </si>
  <si>
    <t>7/7</t>
  </si>
  <si>
    <t>c.662A&gt;G</t>
  </si>
  <si>
    <t>p.Asn221Ser</t>
  </si>
  <si>
    <t>tolerated(0.2)</t>
  </si>
  <si>
    <t>possibly_damaging(0.486)</t>
  </si>
  <si>
    <t>ENST00000392365</t>
  </si>
  <si>
    <t>43.3</t>
  </si>
  <si>
    <t>Liver</t>
  </si>
  <si>
    <t>ENSP00000376172</t>
  </si>
  <si>
    <t>ENST00000409676</t>
  </si>
  <si>
    <t>ENSP00000386344</t>
  </si>
  <si>
    <t>ENST00000426055</t>
  </si>
  <si>
    <t>1.3</t>
  </si>
  <si>
    <t>Artery - Aorta</t>
  </si>
  <si>
    <t>ENSP00000397248</t>
  </si>
  <si>
    <t>ENST00000435414</t>
  </si>
  <si>
    <t>2.7</t>
  </si>
  <si>
    <t>Cells - Transformed fibroblasts</t>
  </si>
  <si>
    <t>ENSP00000409177</t>
  </si>
  <si>
    <t>5/5</t>
  </si>
  <si>
    <t>c.589+5354A&gt;G</t>
  </si>
  <si>
    <t>ENST00000357203</t>
  </si>
  <si>
    <t>2.0</t>
  </si>
  <si>
    <t>Brain - Cerebellum</t>
  </si>
  <si>
    <t>ENSP00000349732</t>
  </si>
  <si>
    <t>6/6</t>
  </si>
  <si>
    <t>c.485C&gt;T</t>
  </si>
  <si>
    <t>p.Ala162Val</t>
  </si>
  <si>
    <t>probably_damaging(0.999)</t>
  </si>
  <si>
    <t>G:0.1673</t>
  </si>
  <si>
    <t>A:0.6445</t>
  </si>
  <si>
    <t>A:0.8415</t>
  </si>
  <si>
    <t>A:0.9365</t>
  </si>
  <si>
    <t>A:0.8847</t>
  </si>
  <si>
    <t>A:0.9202</t>
  </si>
  <si>
    <t>A:0.6932</t>
  </si>
  <si>
    <t>A:0.8712</t>
  </si>
  <si>
    <t>A:0.853</t>
  </si>
  <si>
    <t>A:0.8753</t>
  </si>
  <si>
    <t>A:0.7059</t>
  </si>
  <si>
    <t>A:0.92</t>
  </si>
  <si>
    <t>A:0.9301</t>
  </si>
  <si>
    <t>A:0.875</t>
  </si>
  <si>
    <t>A:0.8761</t>
  </si>
  <si>
    <t>A:0.8635</t>
  </si>
  <si>
    <t>A:0.9164</t>
  </si>
  <si>
    <t>ENST00000422619</t>
  </si>
  <si>
    <t>3.0</t>
  </si>
  <si>
    <t>ENSP00000399129</t>
  </si>
  <si>
    <t>3/3</t>
  </si>
  <si>
    <t>c.329C&gt;T</t>
  </si>
  <si>
    <t>p.Ala110Val</t>
  </si>
  <si>
    <t>probably_damaging(0.972)</t>
  </si>
  <si>
    <t>ENST00000426034</t>
  </si>
  <si>
    <t xml:space="preserve">14.8 </t>
  </si>
  <si>
    <t>ENSP00000387606</t>
  </si>
  <si>
    <t>ENST00000430746</t>
  </si>
  <si>
    <t>nonsense_mediated_decay</t>
  </si>
  <si>
    <t>ENSP00000400599</t>
  </si>
  <si>
    <t>3_prime_UTR_variant,NMD_transcript_variant</t>
  </si>
  <si>
    <t>c.*386C&gt;T</t>
  </si>
  <si>
    <t>ENST00000441239</t>
  </si>
  <si>
    <t>ENSP00000414124</t>
  </si>
  <si>
    <t>c.425C&gt;T</t>
  </si>
  <si>
    <t>p.Ala142Val</t>
  </si>
  <si>
    <t>probably_damaging(0.994)</t>
  </si>
  <si>
    <t>ENST00000449241</t>
  </si>
  <si>
    <t>33.9</t>
  </si>
  <si>
    <t>ENSP00000404913</t>
  </si>
  <si>
    <t>ENST00000321725</t>
  </si>
  <si>
    <t>108.5</t>
  </si>
  <si>
    <t>Spleen</t>
  </si>
  <si>
    <t>ENSP00000312946</t>
  </si>
  <si>
    <t>67/69</t>
  </si>
  <si>
    <t>c.7517T&gt;A</t>
  </si>
  <si>
    <t>p.Met2506Lys</t>
  </si>
  <si>
    <t>tolerated(0.9)</t>
  </si>
  <si>
    <t>T:0.4515</t>
  </si>
  <si>
    <t>C:0.7141</t>
  </si>
  <si>
    <t>C:0.6513</t>
  </si>
  <si>
    <t>C:0.4524</t>
  </si>
  <si>
    <t>C:0.5656</t>
  </si>
  <si>
    <t>C:0.3333</t>
  </si>
  <si>
    <t>C:0.5704</t>
  </si>
  <si>
    <t>C:0.543</t>
  </si>
  <si>
    <t>C:0.5453</t>
  </si>
  <si>
    <t>C:0.6674</t>
  </si>
  <si>
    <t>C:0.652</t>
  </si>
  <si>
    <t>C:0.4534</t>
  </si>
  <si>
    <t>C:0.5473</t>
  </si>
  <si>
    <t>C:0.5714</t>
  </si>
  <si>
    <t>C:0.5564</t>
  </si>
  <si>
    <t>C:0.3395</t>
  </si>
  <si>
    <t>ENST00000469989</t>
  </si>
  <si>
    <t>161.7</t>
  </si>
  <si>
    <t>ENSP00000418426</t>
  </si>
  <si>
    <t>3/5</t>
  </si>
  <si>
    <t>c.336T&gt;A</t>
  </si>
  <si>
    <t>p.Met113Lys</t>
  </si>
  <si>
    <t>tolerated(0.84)</t>
  </si>
  <si>
    <t>unknown(0)</t>
  </si>
  <si>
    <t>ENST00000416872</t>
  </si>
  <si>
    <t>96.3</t>
  </si>
  <si>
    <t>ENSP00000413922</t>
  </si>
  <si>
    <t>9/17</t>
  </si>
  <si>
    <t>c.943C&gt;A</t>
  </si>
  <si>
    <t>p.Gln315Lys</t>
  </si>
  <si>
    <t>tolerated(1)</t>
  </si>
  <si>
    <t>C:0.4563</t>
  </si>
  <si>
    <t>A:0.7663</t>
  </si>
  <si>
    <t>A:0.6095</t>
  </si>
  <si>
    <t>A:0.4137</t>
  </si>
  <si>
    <t>A:0.4841</t>
  </si>
  <si>
    <t>A:0.3916</t>
  </si>
  <si>
    <t>A:0.7101</t>
  </si>
  <si>
    <t>A:0.4656</t>
  </si>
  <si>
    <t>A:0.479</t>
  </si>
  <si>
    <t>A:0.4848</t>
  </si>
  <si>
    <t>A:0.7233</t>
  </si>
  <si>
    <t>A:0.6106</t>
  </si>
  <si>
    <t>A:0.4178</t>
  </si>
  <si>
    <t>A:0.4358</t>
  </si>
  <si>
    <t>A:0.4725</t>
  </si>
  <si>
    <t>A:0.4758</t>
  </si>
  <si>
    <t>A:0.3573</t>
  </si>
  <si>
    <t>ENST00000449956</t>
  </si>
  <si>
    <t>273.4</t>
  </si>
  <si>
    <t>ENSP00000415769</t>
  </si>
  <si>
    <t>9/22</t>
  </si>
  <si>
    <t>tolerated(0.97)</t>
  </si>
  <si>
    <t>benign(0.001)</t>
  </si>
  <si>
    <t>ENST00000621946</t>
  </si>
  <si>
    <t>ENSP00000479928</t>
  </si>
  <si>
    <t>9/21</t>
  </si>
  <si>
    <t>ENST00000326085</t>
  </si>
  <si>
    <t>4.8</t>
  </si>
  <si>
    <t>ENSP00000324241</t>
  </si>
  <si>
    <t>c.590G&gt;A</t>
  </si>
  <si>
    <t>p.Arg197His</t>
  </si>
  <si>
    <t>benign(0.039)</t>
  </si>
  <si>
    <t>T:0.0220</t>
  </si>
  <si>
    <t>T:0.0030</t>
  </si>
  <si>
    <t>T:0.0389</t>
  </si>
  <si>
    <t>T:0.0676</t>
  </si>
  <si>
    <t>T:0.0112</t>
  </si>
  <si>
    <t>T:0.0148</t>
  </si>
  <si>
    <t>T:0.0632</t>
  </si>
  <si>
    <t>T:0.050</t>
  </si>
  <si>
    <t>T:0.05019</t>
  </si>
  <si>
    <t>T:0.01058</t>
  </si>
  <si>
    <t>T:0.01736</t>
  </si>
  <si>
    <t>T:0.0002348</t>
  </si>
  <si>
    <t>T:0.09805</t>
  </si>
  <si>
    <t>T:0.07019</t>
  </si>
  <si>
    <t>T:0.05682</t>
  </si>
  <si>
    <t>T:0.0216</t>
  </si>
  <si>
    <t>ENST00000503957</t>
  </si>
  <si>
    <t>ENSP00000421462</t>
  </si>
  <si>
    <t>2/4</t>
  </si>
  <si>
    <t>c.140G&gt;A</t>
  </si>
  <si>
    <t>p.Arg47His</t>
  </si>
  <si>
    <t>tolerated(0.33)</t>
  </si>
  <si>
    <t>benign(0.089)</t>
  </si>
  <si>
    <t>ENST00000505956</t>
  </si>
  <si>
    <t>2.3</t>
  </si>
  <si>
    <t>ENSP00000420854</t>
  </si>
  <si>
    <t>ENST00000324093</t>
  </si>
  <si>
    <t>21.7</t>
  </si>
  <si>
    <t>ENSP00000317128</t>
  </si>
  <si>
    <t>24/36</t>
  </si>
  <si>
    <t>c.4234T&gt;G</t>
  </si>
  <si>
    <t>p.Leu1412Val</t>
  </si>
  <si>
    <t>tolerated(0.11)</t>
  </si>
  <si>
    <t>probably_damaging(0.988)</t>
  </si>
  <si>
    <t>C:0.1767</t>
  </si>
  <si>
    <t>C:0.2171</t>
  </si>
  <si>
    <t>C:0.1859</t>
  </si>
  <si>
    <t>C:0.0030</t>
  </si>
  <si>
    <t>C:0.3072</t>
  </si>
  <si>
    <t>C:0.1605</t>
  </si>
  <si>
    <t>C:0.2233</t>
  </si>
  <si>
    <t>C:0.2821</t>
  </si>
  <si>
    <t>C:0.223</t>
  </si>
  <si>
    <t>C:0.2239</t>
  </si>
  <si>
    <t>C:0.2136</t>
  </si>
  <si>
    <t>C:0.1322</t>
  </si>
  <si>
    <t>C:0.0008111</t>
  </si>
  <si>
    <t>C:0.2346</t>
  </si>
  <si>
    <t>C:0.2753</t>
  </si>
  <si>
    <t>C:0.2693</t>
  </si>
  <si>
    <t>C:0.1977</t>
  </si>
  <si>
    <t>ENST00000506979</t>
  </si>
  <si>
    <t>0.4</t>
  </si>
  <si>
    <t>ENSP00000427696</t>
  </si>
  <si>
    <t>upstream_gene_variant</t>
  </si>
  <si>
    <t>ENST00000512744</t>
  </si>
  <si>
    <t>26.4</t>
  </si>
  <si>
    <t>Adipose - Visceral (Omentum)</t>
  </si>
  <si>
    <t>ENSP00000426540</t>
  </si>
  <si>
    <t>1/13</t>
  </si>
  <si>
    <t>missense_variant,NMD_transcript_variant</t>
  </si>
  <si>
    <t>c.17T&gt;G</t>
  </si>
  <si>
    <t>p.Leu7Val</t>
  </si>
  <si>
    <t>tolerated(0.16)</t>
  </si>
  <si>
    <t>probably_damaging(0.986)</t>
  </si>
  <si>
    <t>12/36</t>
  </si>
  <si>
    <t>c.2608A&gt;G</t>
  </si>
  <si>
    <t>p.Met870Val</t>
  </si>
  <si>
    <t>T:0.4880</t>
  </si>
  <si>
    <t>C:0.7247</t>
  </si>
  <si>
    <t>C:0.3559</t>
  </si>
  <si>
    <t>C:0.5109</t>
  </si>
  <si>
    <t>C:0.4115</t>
  </si>
  <si>
    <t>C:0.4397</t>
  </si>
  <si>
    <t>C:0.6708</t>
  </si>
  <si>
    <t>C:0.3918</t>
  </si>
  <si>
    <t>C:0.410</t>
  </si>
  <si>
    <t>C:0.4201</t>
  </si>
  <si>
    <t>C:0.6789</t>
  </si>
  <si>
    <t>C:0.2801</t>
  </si>
  <si>
    <t>C:0.5042</t>
  </si>
  <si>
    <t>C:0.3439</t>
  </si>
  <si>
    <t>C:0.3957</t>
  </si>
  <si>
    <t>C:0.4791</t>
  </si>
  <si>
    <t>C:0.4366</t>
  </si>
  <si>
    <t>ENST00000264345</t>
  </si>
  <si>
    <t>19.5</t>
  </si>
  <si>
    <t>ENSP00000264345</t>
  </si>
  <si>
    <t>22/24</t>
  </si>
  <si>
    <t>c.2836G&gt;C</t>
  </si>
  <si>
    <t>p.Glu946Gln</t>
  </si>
  <si>
    <t>C:0.1863</t>
  </si>
  <si>
    <t>C:0.1906</t>
  </si>
  <si>
    <t>C:0.2017</t>
  </si>
  <si>
    <t>C:0.2381</t>
  </si>
  <si>
    <t>C:0.1660</t>
  </si>
  <si>
    <t>C:0.1370</t>
  </si>
  <si>
    <t>C:0.1931</t>
  </si>
  <si>
    <t>C:0.1548</t>
  </si>
  <si>
    <t>C:0.175</t>
  </si>
  <si>
    <t>C:0.1749</t>
  </si>
  <si>
    <t>C:0.1965</t>
  </si>
  <si>
    <t>C:0.256</t>
  </si>
  <si>
    <t>C:0.2227</t>
  </si>
  <si>
    <t>C:0.2139</t>
  </si>
  <si>
    <t>C:0.1571</t>
  </si>
  <si>
    <t>C:0.1795</t>
  </si>
  <si>
    <t>C:0.1352</t>
  </si>
  <si>
    <t>ENST00000402738</t>
  </si>
  <si>
    <t xml:space="preserve">5.4 </t>
  </si>
  <si>
    <t>ENSP00000385684</t>
  </si>
  <si>
    <t>24/26</t>
  </si>
  <si>
    <t>ENST00000264344</t>
  </si>
  <si>
    <t>3.6</t>
  </si>
  <si>
    <t>Fallopian tube</t>
  </si>
  <si>
    <t>ENSP00000264344</t>
  </si>
  <si>
    <t>18/24</t>
  </si>
  <si>
    <t>c.2305G&gt;A</t>
  </si>
  <si>
    <t>p.Val769Ile</t>
  </si>
  <si>
    <t>tolerated(0.24)</t>
  </si>
  <si>
    <t>benign(0.091)</t>
  </si>
  <si>
    <t>T:0.2806</t>
  </si>
  <si>
    <t>T:0.4705</t>
  </si>
  <si>
    <t>T:0.2320</t>
  </si>
  <si>
    <t>T:0.2460</t>
  </si>
  <si>
    <t>T:0.1769</t>
  </si>
  <si>
    <t>T:0.2004</t>
  </si>
  <si>
    <t>T:0.4262</t>
  </si>
  <si>
    <t>T:0.1713</t>
  </si>
  <si>
    <t>T:0.213</t>
  </si>
  <si>
    <t>T:0.2127</t>
  </si>
  <si>
    <t>T:0.4495</t>
  </si>
  <si>
    <t>T:0.2688</t>
  </si>
  <si>
    <t>T:0.2375</t>
  </si>
  <si>
    <t>T:0.2014</t>
  </si>
  <si>
    <t>T:0.1671</t>
  </si>
  <si>
    <t>T:0.1905</t>
  </si>
  <si>
    <t>T:0.2012</t>
  </si>
  <si>
    <t>ENST00000395002</t>
  </si>
  <si>
    <t>19.1</t>
  </si>
  <si>
    <t>ENSP00000378450</t>
  </si>
  <si>
    <t>12/17</t>
  </si>
  <si>
    <t>c.1327G&gt;A</t>
  </si>
  <si>
    <t>p.Val443Ile</t>
  </si>
  <si>
    <t>tolerated(0.36)</t>
  </si>
  <si>
    <t>benign(0.111)</t>
  </si>
  <si>
    <t>ENST00000503556</t>
  </si>
  <si>
    <t>ENSP00000427189</t>
  </si>
  <si>
    <t>11/17</t>
  </si>
  <si>
    <t>c.1285G&gt;A</t>
  </si>
  <si>
    <t>p.Val429Ile</t>
  </si>
  <si>
    <t>tolerated(0.29)</t>
  </si>
  <si>
    <t>benign(0.043)</t>
  </si>
  <si>
    <t>ENST00000504836</t>
  </si>
  <si>
    <t>ENSP00000427077</t>
  </si>
  <si>
    <t>11/15</t>
  </si>
  <si>
    <t>c.*987G&gt;A</t>
  </si>
  <si>
    <t>ENST00000507352</t>
  </si>
  <si>
    <t>ENSP00000425784</t>
  </si>
  <si>
    <t>downstream_gene_variant</t>
  </si>
  <si>
    <t>ENST00000508369</t>
  </si>
  <si>
    <t>ENSP00000421562</t>
  </si>
  <si>
    <t>12/18</t>
  </si>
  <si>
    <t>ENST00000511976</t>
  </si>
  <si>
    <t>ENSP00000421914</t>
  </si>
  <si>
    <t>c.1063G&gt;A</t>
  </si>
  <si>
    <t>p.Val355Ile</t>
  </si>
  <si>
    <t>tolerated(0.12)</t>
  </si>
  <si>
    <t>benign(0.042)</t>
  </si>
  <si>
    <t>ENST00000513837</t>
  </si>
  <si>
    <t>ENSP00000423252</t>
  </si>
  <si>
    <t>10/16</t>
  </si>
  <si>
    <t>c.1243G&gt;A</t>
  </si>
  <si>
    <t>p.Val415Ile</t>
  </si>
  <si>
    <t>benign(0.026)</t>
  </si>
  <si>
    <t>ENST00000264805</t>
  </si>
  <si>
    <t>ENSP00000264805</t>
  </si>
  <si>
    <t>2/21</t>
  </si>
  <si>
    <t>c.152C&gt;T</t>
  </si>
  <si>
    <t>p.Ala51Val</t>
  </si>
  <si>
    <t>benign(0.005)</t>
  </si>
  <si>
    <t>G:0.1899</t>
  </si>
  <si>
    <t>A:0.6952</t>
  </si>
  <si>
    <t>A:0.8588</t>
  </si>
  <si>
    <t>A:0.8968</t>
  </si>
  <si>
    <t>A:0.8131</t>
  </si>
  <si>
    <t>A:0.8384</t>
  </si>
  <si>
    <t>A:0.8192</t>
  </si>
  <si>
    <t>A:0.823</t>
  </si>
  <si>
    <t>A:0.8226</t>
  </si>
  <si>
    <t>A:0.6969</t>
  </si>
  <si>
    <t>A:0.9106</t>
  </si>
  <si>
    <t>A:0.8952</t>
  </si>
  <si>
    <t>A:0.7564</t>
  </si>
  <si>
    <t>A:0.8204</t>
  </si>
  <si>
    <t>A:0.8282</t>
  </si>
  <si>
    <t>A:0.8371</t>
  </si>
  <si>
    <t>ENST00000354960</t>
  </si>
  <si>
    <t>2.2</t>
  </si>
  <si>
    <t>ENSP00000347046</t>
  </si>
  <si>
    <t>c.278C&gt;T</t>
  </si>
  <si>
    <t>p.Ala93Val</t>
  </si>
  <si>
    <t>ENST00000394439</t>
  </si>
  <si>
    <t>50.5</t>
  </si>
  <si>
    <t>ENSP00000377957</t>
  </si>
  <si>
    <t>c.122C&gt;T</t>
  </si>
  <si>
    <t>p.Ala41Val</t>
  </si>
  <si>
    <t>tolerated(0.3)</t>
  </si>
  <si>
    <t>ENST00000420633</t>
  </si>
  <si>
    <t>ENSP00000416309</t>
  </si>
  <si>
    <t>ENST00000292408</t>
  </si>
  <si>
    <t>37.0</t>
  </si>
  <si>
    <t>ENSP00000292408</t>
  </si>
  <si>
    <t>2/18</t>
  </si>
  <si>
    <t>c.28G&gt;A</t>
  </si>
  <si>
    <t>p.Val10Ile</t>
  </si>
  <si>
    <t>tolerated_low_confidence(0.52)</t>
  </si>
  <si>
    <t>A:0.2288</t>
  </si>
  <si>
    <t>A:0.0182</t>
  </si>
  <si>
    <t>A:0.3184</t>
  </si>
  <si>
    <t>A:0.5069</t>
  </si>
  <si>
    <t>A:0.1799</t>
  </si>
  <si>
    <t>A:0.2137</t>
  </si>
  <si>
    <t>A:0.0611</t>
  </si>
  <si>
    <t>A:0.227</t>
  </si>
  <si>
    <t>A:0.236</t>
  </si>
  <si>
    <t>A:0.2408</t>
  </si>
  <si>
    <t>A:0.05497</t>
  </si>
  <si>
    <t>A:0.3238</t>
  </si>
  <si>
    <t>A:0.5234</t>
  </si>
  <si>
    <t>A:0.2441</t>
  </si>
  <si>
    <t>A:0.2232</t>
  </si>
  <si>
    <t>A:0.22</t>
  </si>
  <si>
    <t>A:0.2192</t>
  </si>
  <si>
    <t>ENST00000393637</t>
  </si>
  <si>
    <t>ENSP00000377254</t>
  </si>
  <si>
    <t>1/16</t>
  </si>
  <si>
    <t>tolerated_low_confidence(0.38)</t>
  </si>
  <si>
    <t>ENST00000393648</t>
  </si>
  <si>
    <t>13.1</t>
  </si>
  <si>
    <t>ENSP00000377259</t>
  </si>
  <si>
    <t>tolerated_low_confidence(0.46)</t>
  </si>
  <si>
    <t>ENST00000430285</t>
  </si>
  <si>
    <t>ENSP00000395164</t>
  </si>
  <si>
    <t>1/5</t>
  </si>
  <si>
    <t>ENST00000502906</t>
  </si>
  <si>
    <t>ENSP00000424960</t>
  </si>
  <si>
    <t>ENST00000503708</t>
  </si>
  <si>
    <t>ENSP00000424905</t>
  </si>
  <si>
    <t>2/5</t>
  </si>
  <si>
    <t>tolerated_low_confidence(1)</t>
  </si>
  <si>
    <t>ENST00000510911</t>
  </si>
  <si>
    <t>0.3</t>
  </si>
  <si>
    <t>ENSP00000427222</t>
  </si>
  <si>
    <t>ENST00000511076</t>
  </si>
  <si>
    <t>8.8</t>
  </si>
  <si>
    <t>ENSP00000424670</t>
  </si>
  <si>
    <t>ENST00000513166</t>
  </si>
  <si>
    <t>ENSP00000422889</t>
  </si>
  <si>
    <t>ENST00000514472</t>
  </si>
  <si>
    <t>ENSP00000426492</t>
  </si>
  <si>
    <t>ENST00000334984</t>
  </si>
  <si>
    <t>ENSP00000335574</t>
  </si>
  <si>
    <t>8/12</t>
  </si>
  <si>
    <t>c.583G&gt;A</t>
  </si>
  <si>
    <t>p.Gly195Arg</t>
  </si>
  <si>
    <t>tolerated(0.08)</t>
  </si>
  <si>
    <t>benign(0.046)</t>
  </si>
  <si>
    <t>A:0.4577</t>
  </si>
  <si>
    <t>A:0.3200</t>
  </si>
  <si>
    <t>A:0.4308</t>
  </si>
  <si>
    <t>A:0.5327</t>
  </si>
  <si>
    <t>A:0.4076</t>
  </si>
  <si>
    <t>A:0.6370</t>
  </si>
  <si>
    <t>A:0.3348</t>
  </si>
  <si>
    <t>A:0.4013</t>
  </si>
  <si>
    <t>A:0.447</t>
  </si>
  <si>
    <t>A:0.4469</t>
  </si>
  <si>
    <t>A:0.336</t>
  </si>
  <si>
    <t>A:0.5012</t>
  </si>
  <si>
    <t>A:0.5401</t>
  </si>
  <si>
    <t>A:0.5054</t>
  </si>
  <si>
    <t>A:0.4058</t>
  </si>
  <si>
    <t>A:0.4493</t>
  </si>
  <si>
    <t>A:0.5725</t>
  </si>
  <si>
    <t>ENST00000349384</t>
  </si>
  <si>
    <t>ENSP00000305560</t>
  </si>
  <si>
    <t>probably_damaging(0.956)</t>
  </si>
  <si>
    <t>ENST00000379933</t>
  </si>
  <si>
    <t>1.8</t>
  </si>
  <si>
    <t>ENSP00000369265</t>
  </si>
  <si>
    <t>ENST00000379938</t>
  </si>
  <si>
    <t>22.1</t>
  </si>
  <si>
    <t>ENSP00000369270</t>
  </si>
  <si>
    <t>8/13</t>
  </si>
  <si>
    <t>ENST00000471433</t>
  </si>
  <si>
    <t>ENSP00000420299</t>
  </si>
  <si>
    <t>ENST00000483150</t>
  </si>
  <si>
    <t>ENSP00000419511</t>
  </si>
  <si>
    <t>9/11</t>
  </si>
  <si>
    <t>ENST00000338379</t>
  </si>
  <si>
    <t>0.6</t>
  </si>
  <si>
    <t>ENSP00000341214</t>
  </si>
  <si>
    <t>1/1</t>
  </si>
  <si>
    <t>c.205G&gt;A</t>
  </si>
  <si>
    <t>p.Ala69Thr</t>
  </si>
  <si>
    <t>deleterious(0.01)</t>
  </si>
  <si>
    <t>possibly_damaging(0.641)</t>
  </si>
  <si>
    <t>T:0.0002</t>
  </si>
  <si>
    <t>T:0.0027</t>
  </si>
  <si>
    <t>T:1.730e-04</t>
  </si>
  <si>
    <t>T:0.000173</t>
  </si>
  <si>
    <t>T:0.001922</t>
  </si>
  <si>
    <t>T:1.498e-05</t>
  </si>
  <si>
    <t>ENST00000192788</t>
  </si>
  <si>
    <t>10.8</t>
  </si>
  <si>
    <t>ENSP00000192788</t>
  </si>
  <si>
    <t>14/21</t>
  </si>
  <si>
    <t>c.2952A&gt;T</t>
  </si>
  <si>
    <t>p.Gln984His</t>
  </si>
  <si>
    <t>tolerated(0.09)</t>
  </si>
  <si>
    <t>T:0.1901</t>
  </si>
  <si>
    <t>T:0.4569</t>
  </si>
  <si>
    <t>T:0.1196</t>
  </si>
  <si>
    <t>T:0.1402</t>
  </si>
  <si>
    <t>T:0.1033</t>
  </si>
  <si>
    <t>T:0.3586</t>
  </si>
  <si>
    <t>T:0.1732</t>
  </si>
  <si>
    <t>T:0.160</t>
  </si>
  <si>
    <t>T:0.1598</t>
  </si>
  <si>
    <t>T:0.3811</t>
  </si>
  <si>
    <t>T:0.08638</t>
  </si>
  <si>
    <t>T:0.01933</t>
  </si>
  <si>
    <t>T:0.2228</t>
  </si>
  <si>
    <t>T:0.1679</t>
  </si>
  <si>
    <t>T:0.1667</t>
  </si>
  <si>
    <t>T:0.09571</t>
  </si>
  <si>
    <t>ENST00000452449</t>
  </si>
  <si>
    <t>ENSP00000400628</t>
  </si>
  <si>
    <t>14/22</t>
  </si>
  <si>
    <t>ENST00000356698</t>
  </si>
  <si>
    <t>43.0</t>
  </si>
  <si>
    <t>Uterus</t>
  </si>
  <si>
    <t>synonymous_variant</t>
  </si>
  <si>
    <t>c.567G&gt;A</t>
  </si>
  <si>
    <t>G:0.4673</t>
  </si>
  <si>
    <t>A:0.5983</t>
  </si>
  <si>
    <t>A:0.5231</t>
  </si>
  <si>
    <t>A:0.4940</t>
  </si>
  <si>
    <t>A:0.5000</t>
  </si>
  <si>
    <t>A:0.5245</t>
  </si>
  <si>
    <t>A:0.5933</t>
  </si>
  <si>
    <t>A:0.5329</t>
  </si>
  <si>
    <t>A:0.538</t>
  </si>
  <si>
    <t>A:0.5383</t>
  </si>
  <si>
    <t>A:0.6103</t>
  </si>
  <si>
    <t>A:0.5073</t>
  </si>
  <si>
    <t>A:0.5503</t>
  </si>
  <si>
    <t>A:0.4991</t>
  </si>
  <si>
    <t>A:0.535</t>
  </si>
  <si>
    <t>A:0.4945</t>
  </si>
  <si>
    <t>A:0.5394</t>
  </si>
  <si>
    <t>ENST00000368317</t>
  </si>
  <si>
    <t>4/6</t>
  </si>
  <si>
    <t>ENST00000465254</t>
  </si>
  <si>
    <t>31.1</t>
  </si>
  <si>
    <t>ENSP00000436178</t>
  </si>
  <si>
    <t>c.214+63C&gt;T</t>
  </si>
  <si>
    <t>A:0.0024</t>
  </si>
  <si>
    <t>A:0.0008</t>
  </si>
  <si>
    <t>A:0.0014</t>
  </si>
  <si>
    <t>A:0.0000</t>
  </si>
  <si>
    <t>A:0.0099</t>
  </si>
  <si>
    <t>A:0.0027</t>
  </si>
  <si>
    <t>A:0.0098</t>
  </si>
  <si>
    <t>A:6.721e-03</t>
  </si>
  <si>
    <t>A:0.006736</t>
  </si>
  <si>
    <t>A:0.0025</t>
  </si>
  <si>
    <t>A:0.001217</t>
  </si>
  <si>
    <t>A:0</t>
  </si>
  <si>
    <t>A:0.004091</t>
  </si>
  <si>
    <t>A:0.01107</t>
  </si>
  <si>
    <t>A:0.004405</t>
  </si>
  <si>
    <t>A:0.000485</t>
  </si>
  <si>
    <t>ENST00000483725</t>
  </si>
  <si>
    <t>Pituitary</t>
  </si>
  <si>
    <t>ENSP00000435150</t>
  </si>
  <si>
    <t>c.1510C&gt;T</t>
  </si>
  <si>
    <t>p.Pro504Ser</t>
  </si>
  <si>
    <t>U</t>
  </si>
  <si>
    <t>ENST00000487331</t>
  </si>
  <si>
    <t>ENSP00000434384</t>
  </si>
  <si>
    <t>ENST00000297056</t>
  </si>
  <si>
    <t>13.9</t>
  </si>
  <si>
    <t>ENSP00000297056</t>
  </si>
  <si>
    <t>15/15</t>
  </si>
  <si>
    <t>c.1991A&gt;G</t>
  </si>
  <si>
    <t>p.Gln664Arg</t>
  </si>
  <si>
    <t>tolerated_low_confidence(0.21)</t>
  </si>
  <si>
    <t>benign(0.002)</t>
  </si>
  <si>
    <t>C:0.1629</t>
  </si>
  <si>
    <t>C:0.0545</t>
  </si>
  <si>
    <t>C:0.1816</t>
  </si>
  <si>
    <t>C:0.2669</t>
  </si>
  <si>
    <t>C:0.2107</t>
  </si>
  <si>
    <t>C:0.1401</t>
  </si>
  <si>
    <t>C:0.094</t>
  </si>
  <si>
    <t>C:0.2197</t>
  </si>
  <si>
    <t>C:0.191</t>
  </si>
  <si>
    <t>C:0.1924</t>
  </si>
  <si>
    <t>C:0.08415</t>
  </si>
  <si>
    <t>C:0.1874</t>
  </si>
  <si>
    <t>C:0.2275</t>
  </si>
  <si>
    <t>C:0.2042</t>
  </si>
  <si>
    <t>C:0.2159</t>
  </si>
  <si>
    <t>C:0.1741</t>
  </si>
  <si>
    <t>C:0.1468</t>
  </si>
  <si>
    <t>ENST00000425398</t>
  </si>
  <si>
    <t>0.5</t>
  </si>
  <si>
    <t>ENSP00000391171</t>
  </si>
  <si>
    <t>13/13</t>
  </si>
  <si>
    <t>c.1604A&gt;G</t>
  </si>
  <si>
    <t>p.Gln535Arg</t>
  </si>
  <si>
    <t>tolerated_low_confidence(0.23)</t>
  </si>
  <si>
    <t>benign(0.004)</t>
  </si>
  <si>
    <t>ENST00000436575</t>
  </si>
  <si>
    <t>ENSP00000404785</t>
  </si>
  <si>
    <t>c.1868A&gt;G</t>
  </si>
  <si>
    <t>p.Gln623Arg</t>
  </si>
  <si>
    <t>ENST00000454738</t>
  </si>
  <si>
    <t>ENSP00000411746</t>
  </si>
  <si>
    <t>ENST00000313375</t>
  </si>
  <si>
    <t>ENSP00000320886</t>
  </si>
  <si>
    <t>missense_variant,splice_region_variant</t>
  </si>
  <si>
    <t>c.1073C&gt;T</t>
  </si>
  <si>
    <t>p.Ala358Val</t>
  </si>
  <si>
    <t>tolerated(0.13)</t>
  </si>
  <si>
    <t>benign(0.145)</t>
  </si>
  <si>
    <t>A:0.0781</t>
  </si>
  <si>
    <t>A:0.0545</t>
  </si>
  <si>
    <t>A:0.0418</t>
  </si>
  <si>
    <t>A:0.0913</t>
  </si>
  <si>
    <t>A:0.1183</t>
  </si>
  <si>
    <t>A:0.0808</t>
  </si>
  <si>
    <t>A:0.0594</t>
  </si>
  <si>
    <t>A:0.1058</t>
  </si>
  <si>
    <t>A:0.099</t>
  </si>
  <si>
    <t>A:0.1049</t>
  </si>
  <si>
    <t>A:0.06948</t>
  </si>
  <si>
    <t>A:0.0553</t>
  </si>
  <si>
    <t>A:0.09255</t>
  </si>
  <si>
    <t>A:0.1327</t>
  </si>
  <si>
    <t>A:0.1208</t>
  </si>
  <si>
    <t>A:0.1134</t>
  </si>
  <si>
    <t>A:0.08497</t>
  </si>
  <si>
    <t>ENST00000345114</t>
  </si>
  <si>
    <t>76.4</t>
  </si>
  <si>
    <t>ENSP00000343767</t>
  </si>
  <si>
    <t>9/16</t>
  </si>
  <si>
    <t>missense_variant,splice_region_variant,NMD_transcript_variant</t>
  </si>
  <si>
    <t>possibly_damaging(0.487)</t>
  </si>
  <si>
    <t>ENST00000354613</t>
  </si>
  <si>
    <t>ENSP00000346629</t>
  </si>
  <si>
    <t>tolerated(0.14)</t>
  </si>
  <si>
    <t>benign(0.279)</t>
  </si>
  <si>
    <t>ENST00000414749</t>
  </si>
  <si>
    <t>ENSP00000412330</t>
  </si>
  <si>
    <t>benign(0.122)</t>
  </si>
  <si>
    <t>ENST00000429400</t>
  </si>
  <si>
    <t>12.6</t>
  </si>
  <si>
    <t>ENSP00000406296</t>
  </si>
  <si>
    <t>ENST00000434326</t>
  </si>
  <si>
    <t>172.8</t>
  </si>
  <si>
    <t>ENSP00000392636</t>
  </si>
  <si>
    <t>8/15</t>
  </si>
  <si>
    <t>c.794C&gt;T</t>
  </si>
  <si>
    <t>p.Ala265Val</t>
  </si>
  <si>
    <t>possibly_damaging(0.723)</t>
  </si>
  <si>
    <t>ENST00000453275</t>
  </si>
  <si>
    <t>ENSP00000395172</t>
  </si>
  <si>
    <t>c.572C&gt;T</t>
  </si>
  <si>
    <t>p.Ala191Val</t>
  </si>
  <si>
    <t>tolerated_low_confidence(0.34)</t>
  </si>
  <si>
    <t>c.723G&gt;C</t>
  </si>
  <si>
    <t>p.Gln241His</t>
  </si>
  <si>
    <t>probably_damaging(0.928)</t>
  </si>
  <si>
    <t>G:0.0683</t>
  </si>
  <si>
    <t>G:0.0403</t>
  </si>
  <si>
    <t>G:0.0853</t>
  </si>
  <si>
    <t>G:0.1163</t>
  </si>
  <si>
    <t>G:0.0808</t>
  </si>
  <si>
    <t>G:0.0447</t>
  </si>
  <si>
    <t>G:0.1195</t>
  </si>
  <si>
    <t>G:0.086</t>
  </si>
  <si>
    <t>G:0.1352</t>
  </si>
  <si>
    <t>G:0.05562</t>
  </si>
  <si>
    <t>G:0.09579</t>
  </si>
  <si>
    <t>G:0.1198</t>
  </si>
  <si>
    <t>G:0.2123</t>
  </si>
  <si>
    <t>G:0.1646</t>
  </si>
  <si>
    <t>G:0.1546</t>
  </si>
  <si>
    <t>G:0.1038</t>
  </si>
  <si>
    <t>6/16</t>
  </si>
  <si>
    <t>tolerated(0.26)</t>
  </si>
  <si>
    <t>probably_damaging(0.992)</t>
  </si>
  <si>
    <t>probably_damaging(0.946)</t>
  </si>
  <si>
    <t>probably_damaging(0.995)</t>
  </si>
  <si>
    <t>benign(0.084)</t>
  </si>
  <si>
    <t>4/14</t>
  </si>
  <si>
    <t>c.526-82G&gt;C</t>
  </si>
  <si>
    <t>c.401-6312G&gt;C</t>
  </si>
  <si>
    <t>ENST00000456640</t>
  </si>
  <si>
    <t>76.8</t>
  </si>
  <si>
    <t>ENSP00000402615</t>
  </si>
  <si>
    <t>c.609G&gt;C</t>
  </si>
  <si>
    <t>p.Gln203His</t>
  </si>
  <si>
    <t>tolerated_low_confidence(0.12)</t>
  </si>
  <si>
    <t>benign(0.234)</t>
  </si>
  <si>
    <t>ENST00000371375</t>
  </si>
  <si>
    <t>ENSP00000360426</t>
  </si>
  <si>
    <t>3/31</t>
  </si>
  <si>
    <t>c.719G&gt;A</t>
  </si>
  <si>
    <t>p.Arg240His</t>
  </si>
  <si>
    <t>tolerated(0.1)</t>
  </si>
  <si>
    <t>probably_damaging(0.912)</t>
  </si>
  <si>
    <t>T:0.2011</t>
  </si>
  <si>
    <t>T:0.1967</t>
  </si>
  <si>
    <t>T:0.1110</t>
  </si>
  <si>
    <t>T:0.1319</t>
  </si>
  <si>
    <t>T:0.1859</t>
  </si>
  <si>
    <t>T:0.3579</t>
  </si>
  <si>
    <t>T:0.1744</t>
  </si>
  <si>
    <t>T:0.1704</t>
  </si>
  <si>
    <t>A:3.307e-05</t>
  </si>
  <si>
    <t>A:3.312e-05</t>
  </si>
  <si>
    <t>A:0.0001019</t>
  </si>
  <si>
    <t>A:4.495e-05</t>
  </si>
  <si>
    <t>ENST00000371380</t>
  </si>
  <si>
    <t>3.9</t>
  </si>
  <si>
    <t>ENSP00000360431</t>
  </si>
  <si>
    <t>3/32</t>
  </si>
  <si>
    <t>c.1643G&gt;A</t>
  </si>
  <si>
    <t>p.Arg548His</t>
  </si>
  <si>
    <t>ENST00000371385</t>
  </si>
  <si>
    <t>16.3</t>
  </si>
  <si>
    <t>Artery - Tibial</t>
  </si>
  <si>
    <t>ENSP00000360438</t>
  </si>
  <si>
    <t>ENST00000336553</t>
  </si>
  <si>
    <t>ENSP00000337665</t>
  </si>
  <si>
    <t>c.522G&gt;A</t>
  </si>
  <si>
    <t>T:0.0014</t>
  </si>
  <si>
    <t>T:0.0001</t>
  </si>
  <si>
    <t>T:2.800e-04</t>
  </si>
  <si>
    <t>T:0.000285</t>
  </si>
  <si>
    <t>T:0.003001</t>
  </si>
  <si>
    <t>ENST00000346997</t>
  </si>
  <si>
    <t>ENSP00000263451</t>
  </si>
  <si>
    <t>c.789G&gt;A</t>
  </si>
  <si>
    <t>ENST00000351936</t>
  </si>
  <si>
    <t>ENSP00000309878</t>
  </si>
  <si>
    <t>6/18</t>
  </si>
  <si>
    <t>ENST00000356226</t>
  </si>
  <si>
    <t>Colon - Sigmoid</t>
  </si>
  <si>
    <t>ENSP00000348559</t>
  </si>
  <si>
    <t>5/16</t>
  </si>
  <si>
    <t>c.444G&gt;A</t>
  </si>
  <si>
    <t>ENST00000357555</t>
  </si>
  <si>
    <t>4.5</t>
  </si>
  <si>
    <t>ENSP00000350166</t>
  </si>
  <si>
    <t>ENST00000358487</t>
  </si>
  <si>
    <t>58.5</t>
  </si>
  <si>
    <t>Brain - Spinal cord (cervical c-1)</t>
  </si>
  <si>
    <t>ENSP00000351276</t>
  </si>
  <si>
    <t>7/18</t>
  </si>
  <si>
    <t>ENST00000360144</t>
  </si>
  <si>
    <t>ENSP00000353262</t>
  </si>
  <si>
    <t>ENST00000369056</t>
  </si>
  <si>
    <t>ENSP00000358052</t>
  </si>
  <si>
    <t>ENST00000369058</t>
  </si>
  <si>
    <t>ENSP00000358054</t>
  </si>
  <si>
    <t>7/17</t>
  </si>
  <si>
    <t>ENST00000369059</t>
  </si>
  <si>
    <t>1.9</t>
  </si>
  <si>
    <t>Minor salivary gland</t>
  </si>
  <si>
    <t>ENSP00000358055</t>
  </si>
  <si>
    <t>ENST00000369060</t>
  </si>
  <si>
    <t>ENSP00000358056</t>
  </si>
  <si>
    <t>7/16</t>
  </si>
  <si>
    <t>ENST00000369061</t>
  </si>
  <si>
    <t>31.6</t>
  </si>
  <si>
    <t>ENSP00000358057</t>
  </si>
  <si>
    <t>5/14</t>
  </si>
  <si>
    <t>c.749-4810G&gt;A</t>
  </si>
  <si>
    <t>ENST00000429361</t>
  </si>
  <si>
    <t>Bladder</t>
  </si>
  <si>
    <t>ENSP00000404219</t>
  </si>
  <si>
    <t>ENST00000457416</t>
  </si>
  <si>
    <t>ENSP00000410294</t>
  </si>
  <si>
    <t>ENST00000478859</t>
  </si>
  <si>
    <t>ENSP00000474011</t>
  </si>
  <si>
    <t>c.105G&gt;A</t>
  </si>
  <si>
    <t>ENST00000604236</t>
  </si>
  <si>
    <t>2.4</t>
  </si>
  <si>
    <t>Skin - Not sun exposed (suprapubic)</t>
  </si>
  <si>
    <t>ENSP00000474109</t>
  </si>
  <si>
    <t>5/17</t>
  </si>
  <si>
    <t>synonymous_variant,NMD_transcript_variant</t>
  </si>
  <si>
    <t>ENST00000613048</t>
  </si>
  <si>
    <t>ENSP00000484154</t>
  </si>
  <si>
    <t>ENST00000279230</t>
  </si>
  <si>
    <t>15.4</t>
  </si>
  <si>
    <t>ENSP00000279230</t>
  </si>
  <si>
    <t>21/31</t>
  </si>
  <si>
    <t>c.2534C&gt;T</t>
  </si>
  <si>
    <t>p.Ser845Leu</t>
  </si>
  <si>
    <t>benign(0.258)</t>
  </si>
  <si>
    <t>T:0.0023</t>
  </si>
  <si>
    <t>T:0.0303</t>
  </si>
  <si>
    <t>T:0.0666</t>
  </si>
  <si>
    <t>T:0.0235</t>
  </si>
  <si>
    <t>T:0.0152</t>
  </si>
  <si>
    <t>T:0.0673</t>
  </si>
  <si>
    <t>T:0.04992</t>
  </si>
  <si>
    <t>T:0.01327</t>
  </si>
  <si>
    <t>T:0.01998</t>
  </si>
  <si>
    <t>T:0.000116</t>
  </si>
  <si>
    <t>T:0.09694</t>
  </si>
  <si>
    <t>T:0.06842</t>
  </si>
  <si>
    <t>T:0.06444</t>
  </si>
  <si>
    <t>T:0.02589</t>
  </si>
  <si>
    <t>ENST00000325234</t>
  </si>
  <si>
    <t>38.3</t>
  </si>
  <si>
    <t>ENSP00000324660</t>
  </si>
  <si>
    <t>19/29</t>
  </si>
  <si>
    <t>c.2333C&gt;T</t>
  </si>
  <si>
    <t>p.Ser778Leu</t>
  </si>
  <si>
    <t>benign(0.331)</t>
  </si>
  <si>
    <t>ENST00000540288</t>
  </si>
  <si>
    <t>22.2</t>
  </si>
  <si>
    <t>ENSP00000443631</t>
  </si>
  <si>
    <t>21/32</t>
  </si>
  <si>
    <t>ENST00000355703</t>
  </si>
  <si>
    <t>11.0</t>
  </si>
  <si>
    <t>ENSP00000347931</t>
  </si>
  <si>
    <t>33/35</t>
  </si>
  <si>
    <t>c.5466C&gt;A</t>
  </si>
  <si>
    <t>p.His1822Gln</t>
  </si>
  <si>
    <t>A:0.0138</t>
  </si>
  <si>
    <t>A:0.0015</t>
  </si>
  <si>
    <t>A:0.0187</t>
  </si>
  <si>
    <t>A:0.0497</t>
  </si>
  <si>
    <t>A:0.0041</t>
  </si>
  <si>
    <t>A:0.0093</t>
  </si>
  <si>
    <t>A:0.0487</t>
  </si>
  <si>
    <t>A:0.030</t>
  </si>
  <si>
    <t>A:0.05584</t>
  </si>
  <si>
    <t>A:0.01322</t>
  </si>
  <si>
    <t>A:0.0347</t>
  </si>
  <si>
    <t>A:0.09527</t>
  </si>
  <si>
    <t>A:0.08441</t>
  </si>
  <si>
    <t>A:0.06393</t>
  </si>
  <si>
    <t>A:0.006998</t>
  </si>
  <si>
    <t>rs145878043</t>
  </si>
  <si>
    <t>12:48143316</t>
  </si>
  <si>
    <t>ENST00000548434</t>
  </si>
  <si>
    <t>Adipose - Visceral</t>
  </si>
  <si>
    <t>ENSP00000447691</t>
  </si>
  <si>
    <t>upstream_gene</t>
  </si>
  <si>
    <t>G:0.0018</t>
  </si>
  <si>
    <t>G:0.0029</t>
  </si>
  <si>
    <t>G:0.007</t>
  </si>
  <si>
    <t>G:0.0011</t>
  </si>
  <si>
    <t>G:0.0122</t>
  </si>
  <si>
    <t>G:8.064e-03</t>
  </si>
  <si>
    <t>G:0.008171</t>
  </si>
  <si>
    <t>G:0.001089</t>
  </si>
  <si>
    <t>G:0.002799</t>
  </si>
  <si>
    <t>G:0.01312</t>
  </si>
  <si>
    <t>G:0.01205</t>
  </si>
  <si>
    <t>G:0.003394</t>
  </si>
  <si>
    <t>G:0.003347</t>
  </si>
  <si>
    <t>ENST00000389212</t>
  </si>
  <si>
    <t>ENSP00000373864</t>
  </si>
  <si>
    <t>11/29</t>
  </si>
  <si>
    <t>c.899T&gt;C</t>
  </si>
  <si>
    <t>p.Leu300Pro</t>
  </si>
  <si>
    <t>probably_damaging(0.962)</t>
  </si>
  <si>
    <t>ENST00000395358</t>
  </si>
  <si>
    <t>ENSP00000378764</t>
  </si>
  <si>
    <t>probably_damaging(0.99)</t>
  </si>
  <si>
    <t>ENST00000405493</t>
  </si>
  <si>
    <t>Kidney - Cortex</t>
  </si>
  <si>
    <t>ENSP00000384521</t>
  </si>
  <si>
    <t>10/28</t>
  </si>
  <si>
    <t>c.773T&gt;C</t>
  </si>
  <si>
    <t>p.Leu258Pro</t>
  </si>
  <si>
    <t>ENST00000449771</t>
  </si>
  <si>
    <t>ENSP00000395708</t>
  </si>
  <si>
    <t>ENST00000466322</t>
  </si>
  <si>
    <t>ENSP00000446731</t>
  </si>
  <si>
    <t>ENST00000495465</t>
  </si>
  <si>
    <t>ENSP00000449818</t>
  </si>
  <si>
    <t>5/9</t>
  </si>
  <si>
    <t>c.*16T&gt;C</t>
  </si>
  <si>
    <t>ENST00000495953</t>
  </si>
  <si>
    <t>ENSP00000448804</t>
  </si>
  <si>
    <t>ENST00000547856</t>
  </si>
  <si>
    <t>ENSP00000449905</t>
  </si>
  <si>
    <t>6/24</t>
  </si>
  <si>
    <t>c.*207T&gt;C</t>
  </si>
  <si>
    <t>ENST00000548919</t>
  </si>
  <si>
    <t>ENSP00000448480</t>
  </si>
  <si>
    <t>10/27</t>
  </si>
  <si>
    <t>benign(0.116)</t>
  </si>
  <si>
    <t>ENST00000549151</t>
  </si>
  <si>
    <t>ENSP00000448619</t>
  </si>
  <si>
    <t>ENST00000332082</t>
  </si>
  <si>
    <t>6.3</t>
  </si>
  <si>
    <t>ENSP00000331933</t>
  </si>
  <si>
    <t>6/10</t>
  </si>
  <si>
    <t>c.797C&gt;T</t>
  </si>
  <si>
    <t>p.Thr266Ile</t>
  </si>
  <si>
    <t>deleterious(0.02)</t>
  </si>
  <si>
    <t>T:0.2570</t>
  </si>
  <si>
    <t>T:0.0144</t>
  </si>
  <si>
    <t>T:0.1657</t>
  </si>
  <si>
    <t>T:0.5476</t>
  </si>
  <si>
    <t>T:0.2594</t>
  </si>
  <si>
    <t>T:0.3476</t>
  </si>
  <si>
    <t>T:0.0483</t>
  </si>
  <si>
    <t>T:0.2571</t>
  </si>
  <si>
    <t>T:0.269</t>
  </si>
  <si>
    <t>T:0.2696</t>
  </si>
  <si>
    <t>T:0.04264</t>
  </si>
  <si>
    <t>T:0.162</t>
  </si>
  <si>
    <t>T:0.5377</t>
  </si>
  <si>
    <t>T:0.341</t>
  </si>
  <si>
    <t>T:0.2656</t>
  </si>
  <si>
    <t>T:0.2734</t>
  </si>
  <si>
    <t>T:0.3274</t>
  </si>
  <si>
    <t>ENST00000547525</t>
  </si>
  <si>
    <t>16.0</t>
  </si>
  <si>
    <t>ENSP00000448047</t>
  </si>
  <si>
    <t>ENST00000549903</t>
  </si>
  <si>
    <t>101.3</t>
  </si>
  <si>
    <t>ENSP00000447272</t>
  </si>
  <si>
    <t>4/9</t>
  </si>
  <si>
    <t>ENST00000551638</t>
  </si>
  <si>
    <t>ENSP00000446744</t>
  </si>
  <si>
    <t>c.338C&gt;T</t>
  </si>
  <si>
    <t>p.Thr113Ile</t>
  </si>
  <si>
    <t>deleterious(0.04)</t>
  </si>
  <si>
    <t>ENST00000280560</t>
  </si>
  <si>
    <t>ENSP00000280560</t>
  </si>
  <si>
    <t>2/12</t>
  </si>
  <si>
    <t>c.276C&gt;A</t>
  </si>
  <si>
    <t>p.Phe92Leu</t>
  </si>
  <si>
    <t>tolerated(0.96)</t>
  </si>
  <si>
    <t>T:0.0064</t>
  </si>
  <si>
    <t>T:0.0029</t>
  </si>
  <si>
    <t>T:0.0199</t>
  </si>
  <si>
    <t>T:0.0092</t>
  </si>
  <si>
    <t>T:0.0032</t>
  </si>
  <si>
    <t>T:0.0156</t>
  </si>
  <si>
    <t>T:0.010</t>
  </si>
  <si>
    <t>T:0.01013</t>
  </si>
  <si>
    <t>T:0.00267</t>
  </si>
  <si>
    <t>T:0.005473</t>
  </si>
  <si>
    <t>T:0.004788</t>
  </si>
  <si>
    <t>T:0.01496</t>
  </si>
  <si>
    <t>T:0.009112</t>
  </si>
  <si>
    <t>T:0.006425</t>
  </si>
  <si>
    <t>ENST00000344275</t>
  </si>
  <si>
    <t>ENSP00000456813</t>
  </si>
  <si>
    <t>tolerated(0.99)</t>
  </si>
  <si>
    <t>ENST00000346530</t>
  </si>
  <si>
    <t>ENSP00000280559</t>
  </si>
  <si>
    <t>2/11</t>
  </si>
  <si>
    <t>tolerated(0.79)</t>
  </si>
  <si>
    <t>ENST00000392439</t>
  </si>
  <si>
    <t>0.8</t>
  </si>
  <si>
    <t>Brain - Cortex</t>
  </si>
  <si>
    <t>ENSP00000376234</t>
  </si>
  <si>
    <t>ENST00000426173</t>
  </si>
  <si>
    <t>ENSP00000415967</t>
  </si>
  <si>
    <t>ENST00000442028</t>
  </si>
  <si>
    <t>ENSP00000394898</t>
  </si>
  <si>
    <t>ENST00000442833</t>
  </si>
  <si>
    <t>ENSP00000456375</t>
  </si>
  <si>
    <t>tolerated(0.98)</t>
  </si>
  <si>
    <t>ENST00000537276</t>
  </si>
  <si>
    <t>ENSP00000439871</t>
  </si>
  <si>
    <t>2/10</t>
  </si>
  <si>
    <t>tolerated(0.89)</t>
  </si>
  <si>
    <t>ENST00000540285</t>
  </si>
  <si>
    <t>Brain - Frontal cortex (BA9)</t>
  </si>
  <si>
    <t>ENSP00000441734</t>
  </si>
  <si>
    <t>tolerated(0.95)</t>
  </si>
  <si>
    <t>ENST00000542678</t>
  </si>
  <si>
    <t>ENSP00000440288</t>
  </si>
  <si>
    <t>ENST00000543935</t>
  </si>
  <si>
    <t>ENSP00000443382</t>
  </si>
  <si>
    <t>ENST00000409039</t>
  </si>
  <si>
    <t>3.1</t>
  </si>
  <si>
    <t>ENSP00000386770</t>
  </si>
  <si>
    <t>6/78</t>
  </si>
  <si>
    <t>c.682T&gt;C</t>
  </si>
  <si>
    <t>p.Ser228Pro</t>
  </si>
  <si>
    <t>T:0.2867</t>
  </si>
  <si>
    <t>C:0.5348</t>
  </si>
  <si>
    <t>C:0.7032</t>
  </si>
  <si>
    <t>C:0.9573</t>
  </si>
  <si>
    <t>C:0.6769</t>
  </si>
  <si>
    <t>C:0.7474</t>
  </si>
  <si>
    <t>C:0.5601</t>
  </si>
  <si>
    <t>C:0.63</t>
  </si>
  <si>
    <t>C:0.663</t>
  </si>
  <si>
    <t>C:0.6632</t>
  </si>
  <si>
    <t>C:0.5628</t>
  </si>
  <si>
    <t>C:0.6919</t>
  </si>
  <si>
    <t>C:0.9473</t>
  </si>
  <si>
    <t>C:0.6332</t>
  </si>
  <si>
    <t>C:0.6733</t>
  </si>
  <si>
    <t>C:0.6745</t>
  </si>
  <si>
    <t>ENST00000614082</t>
  </si>
  <si>
    <t>ENSP00000479072</t>
  </si>
  <si>
    <t>6/20</t>
  </si>
  <si>
    <t>5_prime_UTR_variant</t>
  </si>
  <si>
    <t>c.-48T&gt;C</t>
  </si>
  <si>
    <t>ENST00000638045</t>
  </si>
  <si>
    <t>ENSP00000489675</t>
  </si>
  <si>
    <t>c.499T&gt;C</t>
  </si>
  <si>
    <t>p.Ser167Pro</t>
  </si>
  <si>
    <t>tolerated(0.35)</t>
  </si>
  <si>
    <t>30/78</t>
  </si>
  <si>
    <t>c.5354C&gt;T</t>
  </si>
  <si>
    <t>p.Thr1785Met</t>
  </si>
  <si>
    <t>benign(0.076)</t>
  </si>
  <si>
    <t>T:0.0509</t>
  </si>
  <si>
    <t>T:0.117</t>
  </si>
  <si>
    <t>T:0.087</t>
  </si>
  <si>
    <t>T:0.08736</t>
  </si>
  <si>
    <t>T:0.02408</t>
  </si>
  <si>
    <t>T:0.0567</t>
  </si>
  <si>
    <t>T:0.0003478</t>
  </si>
  <si>
    <t>T:0.07938</t>
  </si>
  <si>
    <t>T:0.1198</t>
  </si>
  <si>
    <t>T:0.08909</t>
  </si>
  <si>
    <t>T:0.06395</t>
  </si>
  <si>
    <t>ENST00000497783</t>
  </si>
  <si>
    <t>ENSP00000444761</t>
  </si>
  <si>
    <t>4/21</t>
  </si>
  <si>
    <t>c.713C&gt;T</t>
  </si>
  <si>
    <t>p.Thr238Met</t>
  </si>
  <si>
    <t>tolerated(0.05)</t>
  </si>
  <si>
    <t>benign(0.01)</t>
  </si>
  <si>
    <t>c.5171C&gt;T</t>
  </si>
  <si>
    <t>p.Thr1724Met</t>
  </si>
  <si>
    <t>benign(0.018)</t>
  </si>
  <si>
    <t>ENST00000238156</t>
  </si>
  <si>
    <t>21.3</t>
  </si>
  <si>
    <t>ENSP00000238156</t>
  </si>
  <si>
    <t>c.208A&gt;T</t>
  </si>
  <si>
    <t>p.Ser70Cys</t>
  </si>
  <si>
    <t>probably_damaging(0.922)</t>
  </si>
  <si>
    <t>A:0.2504</t>
  </si>
  <si>
    <t>A:0.3243</t>
  </si>
  <si>
    <t>A:0.3094</t>
  </si>
  <si>
    <t>A:0.280</t>
  </si>
  <si>
    <t>A:0.2797</t>
  </si>
  <si>
    <t>A:0.3196</t>
  </si>
  <si>
    <t>A:0.2359</t>
  </si>
  <si>
    <t>A:0.081</t>
  </si>
  <si>
    <t>A:0.2811</t>
  </si>
  <si>
    <t>A:0.3252</t>
  </si>
  <si>
    <t>A:0.2815</t>
  </si>
  <si>
    <t>A:0.205</t>
  </si>
  <si>
    <t>ENST00000535556</t>
  </si>
  <si>
    <t>ENSP00000438281</t>
  </si>
  <si>
    <t>c.157A&gt;T</t>
  </si>
  <si>
    <t>p.Ser53Cys</t>
  </si>
  <si>
    <t>ENST00000539551</t>
  </si>
  <si>
    <t>0.7</t>
  </si>
  <si>
    <t>ENSP00000442369</t>
  </si>
  <si>
    <t>ENST00000539761</t>
  </si>
  <si>
    <t>ENSP00000439441</t>
  </si>
  <si>
    <t>ENST00000545037</t>
  </si>
  <si>
    <t>ENSP00000440203</t>
  </si>
  <si>
    <t>ENST00000545135</t>
  </si>
  <si>
    <t>6.5</t>
  </si>
  <si>
    <t>ENSP00000439526</t>
  </si>
  <si>
    <t>ENST00000545891</t>
  </si>
  <si>
    <t>105.5</t>
  </si>
  <si>
    <t>Brain - Anterior cingulate cortex (BA24)</t>
  </si>
  <si>
    <t>ENSP00000440024</t>
  </si>
  <si>
    <t>ENST00000376712</t>
  </si>
  <si>
    <t>11.4</t>
  </si>
  <si>
    <t>ENSP00000365902</t>
  </si>
  <si>
    <t>5/8</t>
  </si>
  <si>
    <t>c.524C&gt;T</t>
  </si>
  <si>
    <t>p.Pro175Leu</t>
  </si>
  <si>
    <t>probably_damaging(0.969)</t>
  </si>
  <si>
    <t>A:0.0004</t>
  </si>
  <si>
    <t>A:0.0020</t>
  </si>
  <si>
    <t>A:0.0002</t>
  </si>
  <si>
    <t>A:0.0023</t>
  </si>
  <si>
    <t>A:4.160e-03</t>
  </si>
  <si>
    <t>A:0.0042</t>
  </si>
  <si>
    <t>A:0.0002929</t>
  </si>
  <si>
    <t>A:0.0001748</t>
  </si>
  <si>
    <t>A:0.02433</t>
  </si>
  <si>
    <t>A:0.00508</t>
  </si>
  <si>
    <t>A:0.004464</t>
  </si>
  <si>
    <t>ENST00000376714</t>
  </si>
  <si>
    <t>ENSP00000365904</t>
  </si>
  <si>
    <t>5/10</t>
  </si>
  <si>
    <t>probably_damaging(0.947)</t>
  </si>
  <si>
    <t>ENST00000376747</t>
  </si>
  <si>
    <t>13.0</t>
  </si>
  <si>
    <t>ENSP00000365938</t>
  </si>
  <si>
    <t>5/39</t>
  </si>
  <si>
    <t>probably_damaging(0.931)</t>
  </si>
  <si>
    <t>ENST00000397618</t>
  </si>
  <si>
    <t>ENSP00000380743</t>
  </si>
  <si>
    <t>ENST00000621375</t>
  </si>
  <si>
    <t>ENSP00000482021</t>
  </si>
  <si>
    <t>5/12</t>
  </si>
  <si>
    <t>probably_damaging(0.982)</t>
  </si>
  <si>
    <t>ENST00000311852</t>
  </si>
  <si>
    <t>377.5</t>
  </si>
  <si>
    <t>ENSP00000308208</t>
  </si>
  <si>
    <t>c.817G&gt;A</t>
  </si>
  <si>
    <t>p.Asp273Asn</t>
  </si>
  <si>
    <t>benign(0.43)</t>
  </si>
  <si>
    <t>A:0.1098</t>
  </si>
  <si>
    <t>A:0.0091</t>
  </si>
  <si>
    <t>A:0.1311</t>
  </si>
  <si>
    <t>A:0.0258</t>
  </si>
  <si>
    <t>A:0.1988</t>
  </si>
  <si>
    <t>A:0.2260</t>
  </si>
  <si>
    <t>A:0.0447</t>
  </si>
  <si>
    <t>A:0.2031</t>
  </si>
  <si>
    <t>A:0.163</t>
  </si>
  <si>
    <t>A:0.1638</t>
  </si>
  <si>
    <t>A:0.03834</t>
  </si>
  <si>
    <t>A:0.09684</t>
  </si>
  <si>
    <t>A:0.01944</t>
  </si>
  <si>
    <t>A:0.1984</t>
  </si>
  <si>
    <t>A:0.1952</t>
  </si>
  <si>
    <t>A:0.1545</t>
  </si>
  <si>
    <t>A:0.2256</t>
  </si>
  <si>
    <t>ENST00000548761</t>
  </si>
  <si>
    <t>ENSP00000446989</t>
  </si>
  <si>
    <t>ENST00000348476</t>
  </si>
  <si>
    <t>Cervix - Endocervix</t>
  </si>
  <si>
    <t>ENSP00000344556</t>
  </si>
  <si>
    <t>23/23</t>
  </si>
  <si>
    <t>c.3528A&gt;G</t>
  </si>
  <si>
    <t>A:0.4609</t>
  </si>
  <si>
    <t>G:0.3797</t>
  </si>
  <si>
    <t>G:0.6902</t>
  </si>
  <si>
    <t>G:0.4762</t>
  </si>
  <si>
    <t>G:0.5915</t>
  </si>
  <si>
    <t>G:0.6585</t>
  </si>
  <si>
    <t>G:0.4144</t>
  </si>
  <si>
    <t>G:0.5897</t>
  </si>
  <si>
    <t>G:0.578</t>
  </si>
  <si>
    <t>G:0.5777</t>
  </si>
  <si>
    <t>G:0.4012</t>
  </si>
  <si>
    <t>G:0.6605</t>
  </si>
  <si>
    <t>G:0.4783</t>
  </si>
  <si>
    <t>G:0.5482</t>
  </si>
  <si>
    <t>G:0.5909</t>
  </si>
  <si>
    <t>G:0.5859</t>
  </si>
  <si>
    <t>G:0.6413</t>
  </si>
  <si>
    <t>ENST00000355431</t>
  </si>
  <si>
    <t>10.5</t>
  </si>
  <si>
    <t>ENSP00000347602</t>
  </si>
  <si>
    <t>24/24</t>
  </si>
  <si>
    <t>c.3735A&gt;G</t>
  </si>
  <si>
    <t>ENST00000395168</t>
  </si>
  <si>
    <t>ENSP00000378597</t>
  </si>
  <si>
    <t>c.3573A&gt;G</t>
  </si>
  <si>
    <t>ENST00000431317</t>
  </si>
  <si>
    <t>ENSP00000397368</t>
  </si>
  <si>
    <t>22/22</t>
  </si>
  <si>
    <t>ENST00000219905</t>
  </si>
  <si>
    <t>ENSP00000219905</t>
  </si>
  <si>
    <t>14/24</t>
  </si>
  <si>
    <t>c.4567C&gt;G</t>
  </si>
  <si>
    <t>p.Pro1523Ala</t>
  </si>
  <si>
    <t>benign(0.143)</t>
  </si>
  <si>
    <t>G:0.3013</t>
  </si>
  <si>
    <t>G:0.2141</t>
  </si>
  <si>
    <t>G:0.4597</t>
  </si>
  <si>
    <t>G:0.1875</t>
  </si>
  <si>
    <t>G:0.3436</t>
  </si>
  <si>
    <t>G:0.2273</t>
  </si>
  <si>
    <t>G:0.3452</t>
  </si>
  <si>
    <t>G:0.337</t>
  </si>
  <si>
    <t>G:0.3371</t>
  </si>
  <si>
    <t>G:0.2333</t>
  </si>
  <si>
    <t>G:0.4036</t>
  </si>
  <si>
    <t>G:0.1847</t>
  </si>
  <si>
    <t>G:0.4076</t>
  </si>
  <si>
    <t>G:0.361</t>
  </si>
  <si>
    <t>G:0.3367</t>
  </si>
  <si>
    <t>G:0.3069</t>
  </si>
  <si>
    <t>ENST00000545763</t>
  </si>
  <si>
    <t>ENSP00000442467</t>
  </si>
  <si>
    <t>14/23</t>
  </si>
  <si>
    <t>tolerated(0.17)</t>
  </si>
  <si>
    <t>benign(0.167)</t>
  </si>
  <si>
    <t>ENST00000564190</t>
  </si>
  <si>
    <t>3.5</t>
  </si>
  <si>
    <t>ENSP00000457474</t>
  </si>
  <si>
    <t>3/11</t>
  </si>
  <si>
    <t>c.509C&gt;G</t>
  </si>
  <si>
    <t>p.Pro171Ala</t>
  </si>
  <si>
    <t>deleterious(0.03)</t>
  </si>
  <si>
    <t>benign(0.047)</t>
  </si>
  <si>
    <t>ENST00000566586</t>
  </si>
  <si>
    <t>4.9</t>
  </si>
  <si>
    <t>ENSP00000456141</t>
  </si>
  <si>
    <t>13/22</t>
  </si>
  <si>
    <t>ENST00000570161</t>
  </si>
  <si>
    <t>ENSP00000457035</t>
  </si>
  <si>
    <t>13/23</t>
  </si>
  <si>
    <t>ENST00000456763</t>
  </si>
  <si>
    <t>40.2</t>
  </si>
  <si>
    <t>ENSP00000393099</t>
  </si>
  <si>
    <t>30/32</t>
  </si>
  <si>
    <t>c.3719G&gt;A</t>
  </si>
  <si>
    <t>p.Arg1240His</t>
  </si>
  <si>
    <t>tolerated(0.38)</t>
  </si>
  <si>
    <t>C:0.2340</t>
  </si>
  <si>
    <t>C:0.0371</t>
  </si>
  <si>
    <t>C:0.4121</t>
  </si>
  <si>
    <t>C:0.1796</t>
  </si>
  <si>
    <t>C:0.3479</t>
  </si>
  <si>
    <t>C:0.3129</t>
  </si>
  <si>
    <t>C:0.0949</t>
  </si>
  <si>
    <t>C:0.3323</t>
  </si>
  <si>
    <t>A:2.471e-05</t>
  </si>
  <si>
    <t>A:2.476e-05</t>
  </si>
  <si>
    <t>A:9.623e-05</t>
  </si>
  <si>
    <t>A:8.666e-05</t>
  </si>
  <si>
    <t>A:6.057e-05</t>
  </si>
  <si>
    <t>ENST00000457542</t>
  </si>
  <si>
    <t>ENSP00000397570</t>
  </si>
  <si>
    <t>29/31</t>
  </si>
  <si>
    <t>c.3701G&gt;A</t>
  </si>
  <si>
    <t>p.Arg1234His</t>
  </si>
  <si>
    <t>ENST00000505373</t>
  </si>
  <si>
    <t>ENSP00000421891</t>
  </si>
  <si>
    <t>27/29</t>
  </si>
  <si>
    <t>c.*3252G&gt;A</t>
  </si>
  <si>
    <t>ENST00000512970</t>
  </si>
  <si>
    <t>ENSP00000427582</t>
  </si>
  <si>
    <t>28/30</t>
  </si>
  <si>
    <t>c.*2515G&gt;A</t>
  </si>
  <si>
    <t>ENST00000514566</t>
  </si>
  <si>
    <t>ENSP00000426154</t>
  </si>
  <si>
    <t>28/29</t>
  </si>
  <si>
    <t>c.3382+543G&gt;A</t>
  </si>
  <si>
    <t>ENST00000260453</t>
  </si>
  <si>
    <t>60.1</t>
  </si>
  <si>
    <t>ENSP00000260453</t>
  </si>
  <si>
    <t>c.164A&gt;C</t>
  </si>
  <si>
    <t>p.Gln55Pro</t>
  </si>
  <si>
    <t>benign(0.055)</t>
  </si>
  <si>
    <t>G:0.0535</t>
  </si>
  <si>
    <t>G:0.0083</t>
  </si>
  <si>
    <t>G:0.0677</t>
  </si>
  <si>
    <t>G:0.0694</t>
  </si>
  <si>
    <t>G:0.0905</t>
  </si>
  <si>
    <t>G:0.0501</t>
  </si>
  <si>
    <t>G:0.0297</t>
  </si>
  <si>
    <t>G:0.1074</t>
  </si>
  <si>
    <t>G:0.078</t>
  </si>
  <si>
    <t>G:0.07828</t>
  </si>
  <si>
    <t>G:0.02299</t>
  </si>
  <si>
    <t>G:0.05122</t>
  </si>
  <si>
    <t>G:0.07235</t>
  </si>
  <si>
    <t>G:0.06018</t>
  </si>
  <si>
    <t>G:0.09972</t>
  </si>
  <si>
    <t>G:0.08921</t>
  </si>
  <si>
    <t>G:0.05524</t>
  </si>
  <si>
    <r>
      <t>rs3810818</t>
    </r>
    <r>
      <rPr>
        <vertAlign val="superscript"/>
        <sz val="11"/>
        <rFont val="Calibri"/>
        <family val="2"/>
        <scheme val="minor"/>
      </rPr>
      <t>d</t>
    </r>
  </si>
  <si>
    <t>ENST00000304735</t>
  </si>
  <si>
    <t>78.5</t>
  </si>
  <si>
    <t>ENSP00000306864</t>
  </si>
  <si>
    <t>2/2</t>
  </si>
  <si>
    <t>c.1151A&gt;C</t>
  </si>
  <si>
    <t>p.Glu384Ala</t>
  </si>
  <si>
    <t>tolerated(0.4)</t>
  </si>
  <si>
    <t>A:0.3137</t>
  </si>
  <si>
    <t>C:0.6135</t>
  </si>
  <si>
    <t>C:0.7363</t>
  </si>
  <si>
    <t>C:0.7907</t>
  </si>
  <si>
    <t>C:0.7763</t>
  </si>
  <si>
    <t>C:0.5491</t>
  </si>
  <si>
    <t>C:0.6541</t>
  </si>
  <si>
    <t>C:0.7787</t>
  </si>
  <si>
    <t>C:0.723</t>
  </si>
  <si>
    <t>C:0.74</t>
  </si>
  <si>
    <t>C:0.6373</t>
  </si>
  <si>
    <t>C:0.7315</t>
  </si>
  <si>
    <t>C:0.7849</t>
  </si>
  <si>
    <t>C:0.7552</t>
  </si>
  <si>
    <t>C:0.7799</t>
  </si>
  <si>
    <t>C:0.7805</t>
  </si>
  <si>
    <t>C:0.6247</t>
  </si>
  <si>
    <r>
      <t>rs3747579</t>
    </r>
    <r>
      <rPr>
        <vertAlign val="superscript"/>
        <sz val="11"/>
        <rFont val="Calibri"/>
        <family val="2"/>
        <scheme val="minor"/>
      </rPr>
      <t>e</t>
    </r>
  </si>
  <si>
    <t>ENST00000251166</t>
  </si>
  <si>
    <t>24.4</t>
  </si>
  <si>
    <t>ENSP00000251166</t>
  </si>
  <si>
    <t>7/28</t>
  </si>
  <si>
    <t>c.578G&gt;A</t>
  </si>
  <si>
    <t>p.Arg193Gln</t>
  </si>
  <si>
    <t>benign(0.104)</t>
  </si>
  <si>
    <t>C:0.4926</t>
  </si>
  <si>
    <t>T:0.1172</t>
  </si>
  <si>
    <t>T:0.5836</t>
  </si>
  <si>
    <t>T:0.7817</t>
  </si>
  <si>
    <t>T:0.7097</t>
  </si>
  <si>
    <t>T:0.4898</t>
  </si>
  <si>
    <t>T:0.2187</t>
  </si>
  <si>
    <t>T:0.7156</t>
  </si>
  <si>
    <t>T:0.649</t>
  </si>
  <si>
    <t>T:0.6499</t>
  </si>
  <si>
    <t>T:0.1935</t>
  </si>
  <si>
    <t>T:0.5919</t>
  </si>
  <si>
    <t>T:0.776</t>
  </si>
  <si>
    <t>T:0.6998</t>
  </si>
  <si>
    <t>T:0.7285</t>
  </si>
  <si>
    <t>T:0.7301</t>
  </si>
  <si>
    <t>T:0.5685</t>
  </si>
  <si>
    <t>ENST00000537233</t>
  </si>
  <si>
    <t>ENSP00000440460</t>
  </si>
  <si>
    <t>c.524G&gt;A</t>
  </si>
  <si>
    <t>p.Arg175Gln</t>
  </si>
  <si>
    <t>benign(0.16)</t>
  </si>
  <si>
    <t>ENST00000570645</t>
  </si>
  <si>
    <t>ENSP00000460901</t>
  </si>
  <si>
    <t>c.79G&gt;A</t>
  </si>
  <si>
    <t>p.Gly27Arg</t>
  </si>
  <si>
    <t>probably_damaging(0.98)</t>
  </si>
  <si>
    <t>ENST00000570928</t>
  </si>
  <si>
    <t>ENSP00000460199</t>
  </si>
  <si>
    <t>c.*111G&gt;A</t>
  </si>
  <si>
    <t>ENST00000571052</t>
  </si>
  <si>
    <t>ENSP00000459085</t>
  </si>
  <si>
    <t>ENST00000571059</t>
  </si>
  <si>
    <t>ENSP00000460036</t>
  </si>
  <si>
    <t>c.337-6704G&gt;A</t>
  </si>
  <si>
    <t>ENST00000571227</t>
  </si>
  <si>
    <t>ENSP00000458459</t>
  </si>
  <si>
    <t>8/29</t>
  </si>
  <si>
    <t>c.*514G&gt;A</t>
  </si>
  <si>
    <t>ENST00000571756</t>
  </si>
  <si>
    <t>ENSP00000458828</t>
  </si>
  <si>
    <t>c.517G&gt;A</t>
  </si>
  <si>
    <t>p.Gly173Arg</t>
  </si>
  <si>
    <t>ENST00000572044</t>
  </si>
  <si>
    <t>ENSP00000458411</t>
  </si>
  <si>
    <t>c.74G&gt;A</t>
  </si>
  <si>
    <t>p.Arg25Gln</t>
  </si>
  <si>
    <t>benign(0.147)</t>
  </si>
  <si>
    <t>ENST00000572549</t>
  </si>
  <si>
    <t>ENSP00000459286</t>
  </si>
  <si>
    <t>2/8</t>
  </si>
  <si>
    <t>c.113G&gt;A</t>
  </si>
  <si>
    <t>p.Arg38Gln</t>
  </si>
  <si>
    <t>benign(0.446)</t>
  </si>
  <si>
    <t>ENST00000574025</t>
  </si>
  <si>
    <t>ENSP00000461702</t>
  </si>
  <si>
    <t>5/26</t>
  </si>
  <si>
    <t>c.323G&gt;A</t>
  </si>
  <si>
    <t>p.Arg108Gln</t>
  </si>
  <si>
    <t>benign(0.106)</t>
  </si>
  <si>
    <t>ENST00000574311</t>
  </si>
  <si>
    <t>ENSP00000461187</t>
  </si>
  <si>
    <t>2/17</t>
  </si>
  <si>
    <t>ENST00000575038</t>
  </si>
  <si>
    <t>ENSP00000461797</t>
  </si>
  <si>
    <t>8/9</t>
  </si>
  <si>
    <t>ENST00000575850</t>
  </si>
  <si>
    <t>ENSP00000460910</t>
  </si>
  <si>
    <t>c.617G&gt;A</t>
  </si>
  <si>
    <t>p.Arg206Gln</t>
  </si>
  <si>
    <t>possibly_damaging(0.809)</t>
  </si>
  <si>
    <t>ENST00000576437</t>
  </si>
  <si>
    <t>ENSP00000459228</t>
  </si>
  <si>
    <t>ENST00000262375</t>
  </si>
  <si>
    <t>7.6</t>
  </si>
  <si>
    <t>ENSP00000262375</t>
  </si>
  <si>
    <t>c.223A&gt;T</t>
  </si>
  <si>
    <t>p.Asn75Tyr</t>
  </si>
  <si>
    <t>A:0.3650</t>
  </si>
  <si>
    <t>T:0.6520</t>
  </si>
  <si>
    <t>T:0.6282</t>
  </si>
  <si>
    <t>T:0.6954</t>
  </si>
  <si>
    <t>T:0.6978</t>
  </si>
  <si>
    <t>T:0.6641</t>
  </si>
  <si>
    <t>T:0.723</t>
  </si>
  <si>
    <t>T:0.683</t>
  </si>
  <si>
    <t>T:0.6834</t>
  </si>
  <si>
    <t>T:0.6646</t>
  </si>
  <si>
    <t>T:0.6215</t>
  </si>
  <si>
    <t>T:0.689</t>
  </si>
  <si>
    <t>T:0.6881</t>
  </si>
  <si>
    <t>T:0.7282</t>
  </si>
  <si>
    <t>T:0.7324</t>
  </si>
  <si>
    <t>T:0.5497</t>
  </si>
  <si>
    <t>ENST00000355296</t>
  </si>
  <si>
    <t>45.6</t>
  </si>
  <si>
    <t>ENSP00000347445</t>
  </si>
  <si>
    <t>ENST00000431375</t>
  </si>
  <si>
    <t>ENSP00000393970</t>
  </si>
  <si>
    <t>1/8</t>
  </si>
  <si>
    <t>c.102-7111A&gt;T</t>
  </si>
  <si>
    <t>ENST00000570857</t>
  </si>
  <si>
    <t>ENSP00000460358</t>
  </si>
  <si>
    <t>1/3</t>
  </si>
  <si>
    <t>intron_variant,NMD_transcript_variant</t>
  </si>
  <si>
    <t>c.212-3007A&gt;T</t>
  </si>
  <si>
    <t>ENST00000574895</t>
  </si>
  <si>
    <t>ENSP00000459088</t>
  </si>
  <si>
    <t>ENST00000575106</t>
  </si>
  <si>
    <t>3/6</t>
  </si>
  <si>
    <t>c.297A&gt;T</t>
  </si>
  <si>
    <t>ENST00000576911</t>
  </si>
  <si>
    <t>ENSP00000459098</t>
  </si>
  <si>
    <t>c.212-7111A&gt;T</t>
  </si>
  <si>
    <t>ENST00000329956</t>
  </si>
  <si>
    <t>ENSP00000329943</t>
  </si>
  <si>
    <t>6/14</t>
  </si>
  <si>
    <t>c.665G&gt;A</t>
  </si>
  <si>
    <t>p.Arg222His</t>
  </si>
  <si>
    <t>benign(0.007)</t>
  </si>
  <si>
    <t>C:0.2061</t>
  </si>
  <si>
    <t>C:0.6415</t>
  </si>
  <si>
    <t>C:0.0850</t>
  </si>
  <si>
    <t>C:0.0408</t>
  </si>
  <si>
    <t>C:0.0828</t>
  </si>
  <si>
    <t>C:0.5036</t>
  </si>
  <si>
    <t>C:0.0428</t>
  </si>
  <si>
    <t>C:0.090</t>
  </si>
  <si>
    <t>C:0.08983</t>
  </si>
  <si>
    <t>C:0.5241</t>
  </si>
  <si>
    <t>C:0.04889</t>
  </si>
  <si>
    <t>C:0.001387</t>
  </si>
  <si>
    <t>C:0.04129</t>
  </si>
  <si>
    <t>C:0.04722</t>
  </si>
  <si>
    <t>C:0.07379</t>
  </si>
  <si>
    <t>C:0.08376</t>
  </si>
  <si>
    <t>ENST00000435835</t>
  </si>
  <si>
    <t>ENSP00000411122</t>
  </si>
  <si>
    <t>c.302G&gt;A</t>
  </si>
  <si>
    <t>p.Arg101His</t>
  </si>
  <si>
    <t>ENST00000561821</t>
  </si>
  <si>
    <t>ENSP00000456517</t>
  </si>
  <si>
    <t>c.*157G&gt;A</t>
  </si>
  <si>
    <t>ENST00000561948</t>
  </si>
  <si>
    <t>ENSP00000456347</t>
  </si>
  <si>
    <t>c.158G&gt;A</t>
  </si>
  <si>
    <t>p.Arg53His</t>
  </si>
  <si>
    <t>ENST00000563189</t>
  </si>
  <si>
    <t>18.7</t>
  </si>
  <si>
    <t>ENSP00000455103</t>
  </si>
  <si>
    <t>ENST00000565019</t>
  </si>
  <si>
    <t>ENSP00000464675</t>
  </si>
  <si>
    <t>c.735G&gt;C</t>
  </si>
  <si>
    <t>p.Arg246Pro</t>
  </si>
  <si>
    <t>ENST00000567211</t>
  </si>
  <si>
    <t>13.2</t>
  </si>
  <si>
    <t>ENSP00000455211</t>
  </si>
  <si>
    <t>ENST00000567723</t>
  </si>
  <si>
    <t>ENSP00000455799</t>
  </si>
  <si>
    <t>4/10</t>
  </si>
  <si>
    <t>c.*43G&gt;A</t>
  </si>
  <si>
    <t>ENST00000567823</t>
  </si>
  <si>
    <t>23.5</t>
  </si>
  <si>
    <t>ENSP00000456164</t>
  </si>
  <si>
    <t>c.215-11570G&gt;A</t>
  </si>
  <si>
    <t>ENST00000568010</t>
  </si>
  <si>
    <t>ENSP00000455018</t>
  </si>
  <si>
    <t>benign(0.034)</t>
  </si>
  <si>
    <t>ENST00000568804</t>
  </si>
  <si>
    <t>ENSP00000464367</t>
  </si>
  <si>
    <t>ENST00000569499</t>
  </si>
  <si>
    <t>ENSP00000456814</t>
  </si>
  <si>
    <t>c.161G&gt;A</t>
  </si>
  <si>
    <t>p.Arg54His</t>
  </si>
  <si>
    <t>ENST00000569552</t>
  </si>
  <si>
    <t>ENSP00000454309</t>
  </si>
  <si>
    <t>c.*70-3340G&gt;A</t>
  </si>
  <si>
    <t>ENST00000570075</t>
  </si>
  <si>
    <t>ENSP00000454794</t>
  </si>
  <si>
    <t>c.*420G&gt;A</t>
  </si>
  <si>
    <t>ENSP00000329943.6</t>
  </si>
  <si>
    <t>10/14</t>
  </si>
  <si>
    <t>c.1525G&gt;A</t>
  </si>
  <si>
    <t>p.Gly509Ser</t>
  </si>
  <si>
    <t>tolerated(0.22)</t>
  </si>
  <si>
    <t>probably_damaging(1)</t>
  </si>
  <si>
    <t>A:0.2069</t>
  </si>
  <si>
    <t>A:0.6437</t>
  </si>
  <si>
    <t>A:0.0850</t>
  </si>
  <si>
    <t>A:0.0040</t>
  </si>
  <si>
    <t>A:0.0408</t>
  </si>
  <si>
    <t>A:0.0828</t>
  </si>
  <si>
    <t>A:0.5034</t>
  </si>
  <si>
    <t>A:0.0428</t>
  </si>
  <si>
    <t>A:0.090</t>
  </si>
  <si>
    <t>A:0.08992</t>
  </si>
  <si>
    <t>A:0.5238</t>
  </si>
  <si>
    <t>A:0.04922</t>
  </si>
  <si>
    <t>A:0.001413</t>
  </si>
  <si>
    <t>A:0.04126</t>
  </si>
  <si>
    <t>A:0.04735</t>
  </si>
  <si>
    <t>A:0.07395</t>
  </si>
  <si>
    <t>A:0.08378</t>
  </si>
  <si>
    <t>6/8</t>
  </si>
  <si>
    <t>c.1132-3312G&gt;A</t>
  </si>
  <si>
    <t>ENSP00000455103.1</t>
  </si>
  <si>
    <t>7/11</t>
  </si>
  <si>
    <t>c.1162G&gt;A</t>
  </si>
  <si>
    <t>p.Gly388Ser</t>
  </si>
  <si>
    <t>c.*246-38G&gt;A</t>
  </si>
  <si>
    <t>7/10</t>
  </si>
  <si>
    <t>c.*851G&gt;A</t>
  </si>
  <si>
    <t>3/7</t>
  </si>
  <si>
    <t>c.*20G&gt;A</t>
  </si>
  <si>
    <t>c.*265G&gt;A</t>
  </si>
  <si>
    <t>ENST00000255389</t>
  </si>
  <si>
    <t>31.3</t>
  </si>
  <si>
    <t>ENSP00000255389</t>
  </si>
  <si>
    <t>c.283G&gt;C</t>
  </si>
  <si>
    <t>p.Val95Leu</t>
  </si>
  <si>
    <t>tolerated(0.7)</t>
  </si>
  <si>
    <t>benign(0.009)</t>
  </si>
  <si>
    <t>T:0.1989</t>
  </si>
  <si>
    <t>T:0.0635</t>
  </si>
  <si>
    <t>T:0.2767</t>
  </si>
  <si>
    <t>T:0.0952</t>
  </si>
  <si>
    <t>T:0.4513</t>
  </si>
  <si>
    <t>T:0.1738</t>
  </si>
  <si>
    <t>T:0.1303</t>
  </si>
  <si>
    <t>T:0.4508</t>
  </si>
  <si>
    <t>T:0.342</t>
  </si>
  <si>
    <t>T:0.3426</t>
  </si>
  <si>
    <t>T:0.1176</t>
  </si>
  <si>
    <t>T:0.2235</t>
  </si>
  <si>
    <t>T:0.09895</t>
  </si>
  <si>
    <t>T:0.4027</t>
  </si>
  <si>
    <t>T:0.4575</t>
  </si>
  <si>
    <t>T:0.3382</t>
  </si>
  <si>
    <t>T:0.2088</t>
  </si>
  <si>
    <t>ENST00000395781</t>
  </si>
  <si>
    <t>ENSP00000379127</t>
  </si>
  <si>
    <t>tolerated(0.59)</t>
  </si>
  <si>
    <t>benign(0.006)</t>
  </si>
  <si>
    <t>ENST00000395782</t>
  </si>
  <si>
    <t>8.3</t>
  </si>
  <si>
    <t>ENSP00000379128</t>
  </si>
  <si>
    <t>c.172G&gt;C</t>
  </si>
  <si>
    <t>p.Val58Leu</t>
  </si>
  <si>
    <t>tolerated(0.73)</t>
  </si>
  <si>
    <t>ENST00000395783</t>
  </si>
  <si>
    <t>76.5</t>
  </si>
  <si>
    <t>ENSP00000379129</t>
  </si>
  <si>
    <t>ENST00000435340</t>
  </si>
  <si>
    <t>ENSP00000391288</t>
  </si>
  <si>
    <t>c.217G&gt;C</t>
  </si>
  <si>
    <t>p.Val73Leu</t>
  </si>
  <si>
    <t>tolerated(0.53)</t>
  </si>
  <si>
    <t>ENST00000461404</t>
  </si>
  <si>
    <t>ENSP00000463713</t>
  </si>
  <si>
    <t>c.*45G&gt;C</t>
  </si>
  <si>
    <t>ENST00000580147</t>
  </si>
  <si>
    <t>1.4</t>
  </si>
  <si>
    <t>ENSP00000463112</t>
  </si>
  <si>
    <t>c.205-12772G&gt;C</t>
  </si>
  <si>
    <t>ENST00000301455</t>
  </si>
  <si>
    <t>ENSP00000301455</t>
  </si>
  <si>
    <t>1/7</t>
  </si>
  <si>
    <t>c.118G&gt;A</t>
  </si>
  <si>
    <t>p.Glu40Lys</t>
  </si>
  <si>
    <t>A:0.0094</t>
  </si>
  <si>
    <t>A:0.0030</t>
  </si>
  <si>
    <t>A:0.0245</t>
  </si>
  <si>
    <t>A:8.069e-03</t>
  </si>
  <si>
    <t>A:0.01868</t>
  </si>
  <si>
    <t>A:0.004545</t>
  </si>
  <si>
    <t>A:0.04369</t>
  </si>
  <si>
    <t>A:0.125</t>
  </si>
  <si>
    <t>A:0.05015</t>
  </si>
  <si>
    <t>A:0.02857</t>
  </si>
  <si>
    <t>A:0.0007895</t>
  </si>
  <si>
    <t>ENST00000393962</t>
  </si>
  <si>
    <t>37.3</t>
  </si>
  <si>
    <t>ENSP00000377534</t>
  </si>
  <si>
    <t>1/6</t>
  </si>
  <si>
    <t>probably_damaging(0.973)</t>
  </si>
  <si>
    <t>ENST00000593998</t>
  </si>
  <si>
    <t>ENSP00000472551</t>
  </si>
  <si>
    <t>ENST00000594875</t>
  </si>
  <si>
    <t>ENSP00000472869</t>
  </si>
  <si>
    <t>c.42G&gt;A</t>
  </si>
  <si>
    <t>p.Glu15Lys</t>
  </si>
  <si>
    <t>ENST00000595079</t>
  </si>
  <si>
    <t>ENSP00000473025</t>
  </si>
  <si>
    <t>possibly_damaging(0.81)</t>
  </si>
  <si>
    <t>ENST00000599192</t>
  </si>
  <si>
    <t>ENSP00000473090</t>
  </si>
  <si>
    <t>ENST00000601770</t>
  </si>
  <si>
    <t>ENSP00000471345</t>
  </si>
  <si>
    <t>ENST00000601886</t>
  </si>
  <si>
    <t>ENSP00000470307</t>
  </si>
  <si>
    <t>ENST00000407280</t>
  </si>
  <si>
    <t>841.8</t>
  </si>
  <si>
    <t>Whole blood</t>
  </si>
  <si>
    <t>ENSP00000384886</t>
  </si>
  <si>
    <t>c.227G&gt;A</t>
  </si>
  <si>
    <t>p.Arg76Gln</t>
  </si>
  <si>
    <t>possibly_damaging(0.688)</t>
  </si>
  <si>
    <t>A:0.1817</t>
  </si>
  <si>
    <t>A:0.2398</t>
  </si>
  <si>
    <t>A:0.1816</t>
  </si>
  <si>
    <t>A:0.0655</t>
  </si>
  <si>
    <t>A:0.2704</t>
  </si>
  <si>
    <t>A:0.1319</t>
  </si>
  <si>
    <t>A:0.2191</t>
  </si>
  <si>
    <t>A:0.2565</t>
  </si>
  <si>
    <t>A:0.224</t>
  </si>
  <si>
    <t>A:0.2554</t>
  </si>
  <si>
    <t>A:0.2708</t>
  </si>
  <si>
    <t>A:0.2098</t>
  </si>
  <si>
    <t>A:0.09461</t>
  </si>
  <si>
    <t>A:0.2895</t>
  </si>
  <si>
    <t>A:0.2876</t>
  </si>
  <si>
    <t>A:0.2742</t>
  </si>
  <si>
    <t>A:0.2061</t>
  </si>
  <si>
    <t>ENST00000597802</t>
  </si>
  <si>
    <t>81.6</t>
  </si>
  <si>
    <t>ENSP00000470527</t>
  </si>
  <si>
    <t>ENST00000599612</t>
  </si>
  <si>
    <t>20.0</t>
  </si>
  <si>
    <t>ENSP00000469836</t>
  </si>
  <si>
    <t>c.214A&gt;G</t>
  </si>
  <si>
    <t>p.Met72Val</t>
  </si>
  <si>
    <t>G:0.1747</t>
  </si>
  <si>
    <t>G:0.1967</t>
  </si>
  <si>
    <t>G:0.1974</t>
  </si>
  <si>
    <t>G:0.0655</t>
  </si>
  <si>
    <t>G:0.2813</t>
  </si>
  <si>
    <t>G:0.1319</t>
  </si>
  <si>
    <t>G:0.1903</t>
  </si>
  <si>
    <t>G:0.2758</t>
  </si>
  <si>
    <t>T:8.266e-06</t>
  </si>
  <si>
    <t>T:8.282e-06</t>
  </si>
  <si>
    <t>T:1.499e-05</t>
  </si>
  <si>
    <t>ENST00000222145</t>
  </si>
  <si>
    <t>25.0</t>
  </si>
  <si>
    <t>ENSP00000222145</t>
  </si>
  <si>
    <t>c.1801C&gt;T</t>
  </si>
  <si>
    <t>p.Arg601Cys</t>
  </si>
  <si>
    <t>possibly_damaging(0.759)</t>
  </si>
  <si>
    <t>A:0.2149</t>
  </si>
  <si>
    <t>A:0.1157</t>
  </si>
  <si>
    <t>A:0.2997</t>
  </si>
  <si>
    <t>A:0.0198</t>
  </si>
  <si>
    <t>A:0.4791</t>
  </si>
  <si>
    <t>A:0.2178</t>
  </si>
  <si>
    <t>A:0.1481</t>
  </si>
  <si>
    <t>A:0.4404</t>
  </si>
  <si>
    <t>A:0.249</t>
  </si>
  <si>
    <t>A:0.4104</t>
  </si>
  <si>
    <t>A:0.234</t>
  </si>
  <si>
    <t>A:0.4423</t>
  </si>
  <si>
    <t>A:0.03175</t>
  </si>
  <si>
    <t>A:0.6667</t>
  </si>
  <si>
    <t>A:0.5683</t>
  </si>
  <si>
    <t>A:0.4457</t>
  </si>
  <si>
    <t>A:0.3582</t>
  </si>
  <si>
    <t>ENST00000599291</t>
  </si>
  <si>
    <t>ENSP00000471633</t>
  </si>
  <si>
    <t>c.416-4009C&gt;T</t>
  </si>
  <si>
    <t>ENST00000332955</t>
  </si>
  <si>
    <t>15.2</t>
  </si>
  <si>
    <t>ENSP00000327786</t>
  </si>
  <si>
    <t>10/10</t>
  </si>
  <si>
    <t>c.998C&gt;T</t>
  </si>
  <si>
    <t>p.Ala333Val</t>
  </si>
  <si>
    <t>G:0.4862</t>
  </si>
  <si>
    <t>A:0.3162</t>
  </si>
  <si>
    <t>A:0.5461</t>
  </si>
  <si>
    <t>A:0.8323</t>
  </si>
  <si>
    <t>A:0.4473</t>
  </si>
  <si>
    <t>A:0.4980</t>
  </si>
  <si>
    <t>A:0.323</t>
  </si>
  <si>
    <t>A:0.4364</t>
  </si>
  <si>
    <t>A:0.4787</t>
  </si>
  <si>
    <t>A:0.3183</t>
  </si>
  <si>
    <t>A:0.5876</t>
  </si>
  <si>
    <t>A:0.8456</t>
  </si>
  <si>
    <t>A:0.4405</t>
  </si>
  <si>
    <t>A:0.4375</t>
  </si>
  <si>
    <t>A:0.4924</t>
  </si>
  <si>
    <t>ENST00000595517</t>
  </si>
  <si>
    <t>8.2</t>
  </si>
  <si>
    <t>ENSP00000471815</t>
  </si>
  <si>
    <t>9/9</t>
  </si>
  <si>
    <t>c.*754C&gt;T</t>
  </si>
  <si>
    <t>ENST00000595937</t>
  </si>
  <si>
    <t>8.9</t>
  </si>
  <si>
    <t>ENSP00000470144</t>
  </si>
  <si>
    <t>c.*450C&gt;T</t>
  </si>
  <si>
    <t>ENST00000602105</t>
  </si>
  <si>
    <t>ENSP00000471134</t>
  </si>
  <si>
    <t>ENST00000349714</t>
  </si>
  <si>
    <t>ENSP00000335364</t>
  </si>
  <si>
    <t>c.152G&gt;A</t>
  </si>
  <si>
    <t>p.Arg51Gln</t>
  </si>
  <si>
    <t>tolerated_low_confidence(0.49)</t>
  </si>
  <si>
    <t>C:0.4724</t>
  </si>
  <si>
    <t>T:0.3056</t>
  </si>
  <si>
    <t>T:0.7104</t>
  </si>
  <si>
    <t>T:0.7113</t>
  </si>
  <si>
    <t>T:0.6203</t>
  </si>
  <si>
    <t>T:0.4131</t>
  </si>
  <si>
    <t>T:0.3659</t>
  </si>
  <si>
    <t>T:0.6077</t>
  </si>
  <si>
    <t>T:0.577</t>
  </si>
  <si>
    <t>T:0.3564</t>
  </si>
  <si>
    <t>T:0.751</t>
  </si>
  <si>
    <t>T:0.7076</t>
  </si>
  <si>
    <t>T:0.5692</t>
  </si>
  <si>
    <t>T:0.5994</t>
  </si>
  <si>
    <t>T:0.5672</t>
  </si>
  <si>
    <t>T:0.4391</t>
  </si>
  <si>
    <t>ENST00000359226</t>
  </si>
  <si>
    <t>12.0</t>
  </si>
  <si>
    <t>ENSP00000352161</t>
  </si>
  <si>
    <t>tolerated_low_confidence(0.54)</t>
  </si>
  <si>
    <t>ENST00000374380</t>
  </si>
  <si>
    <t>ENSP00000363501</t>
  </si>
  <si>
    <t>c.130-9855G&gt;A</t>
  </si>
  <si>
    <t>ENST00000374384</t>
  </si>
  <si>
    <t>10.0</t>
  </si>
  <si>
    <t>ENSP00000363505</t>
  </si>
  <si>
    <t>ENST00000374385</t>
  </si>
  <si>
    <t>ENSP00000363506</t>
  </si>
  <si>
    <t>3/10</t>
  </si>
  <si>
    <t>tolerated_low_confidence(0.48)</t>
  </si>
  <si>
    <t>ENST00000374394</t>
  </si>
  <si>
    <t>ENSP00000363515</t>
  </si>
  <si>
    <t>c.*206G&gt;A</t>
  </si>
  <si>
    <t>ENST00000397553</t>
  </si>
  <si>
    <t>ENSP00000380685</t>
  </si>
  <si>
    <t>4/8</t>
  </si>
  <si>
    <t>c.*88G&gt;A</t>
  </si>
  <si>
    <t>ENST00000397554</t>
  </si>
  <si>
    <t>ENSP00000380686</t>
  </si>
  <si>
    <t>tolerated_low_confidence(0.51)</t>
  </si>
  <si>
    <t>ENST00000397556</t>
  </si>
  <si>
    <t>ENSP00000380688</t>
  </si>
  <si>
    <t>c.14G&gt;A</t>
  </si>
  <si>
    <t>p.Arg5Gln</t>
  </si>
  <si>
    <t>tolerated_low_confidence(0.41)</t>
  </si>
  <si>
    <t>ENST00000424405</t>
  </si>
  <si>
    <t>ENSP00000399713</t>
  </si>
  <si>
    <t>c.130-2086G&gt;A</t>
  </si>
  <si>
    <t>ENST00000438533</t>
  </si>
  <si>
    <t>ENSP00000398531</t>
  </si>
  <si>
    <t>c.194G&gt;A</t>
  </si>
  <si>
    <t>p.Arg65Gln</t>
  </si>
  <si>
    <t>tolerated_low_confidence(0.44)</t>
  </si>
  <si>
    <t>ENST00000443429</t>
  </si>
  <si>
    <t>ENSP00000416246</t>
  </si>
  <si>
    <t>tolerated(0.51)</t>
  </si>
  <si>
    <t>benign(0.003)</t>
  </si>
  <si>
    <t>ENST00000453855</t>
  </si>
  <si>
    <t>ENSP00000390334</t>
  </si>
  <si>
    <t>c.149G&gt;A</t>
  </si>
  <si>
    <t>p.Arg50Gln</t>
  </si>
  <si>
    <t>ENST00000457259</t>
  </si>
  <si>
    <t>6.8</t>
  </si>
  <si>
    <t>ENSP00000411024</t>
  </si>
  <si>
    <t>c.124+9981G&gt;A</t>
  </si>
  <si>
    <t>ENST00000491040</t>
  </si>
  <si>
    <t>ENSP00000420584</t>
  </si>
  <si>
    <t>c.*108-2086G&gt;A</t>
  </si>
  <si>
    <t>ENST00000374369</t>
  </si>
  <si>
    <t>5.6</t>
  </si>
  <si>
    <t>ENSP00000363489</t>
  </si>
  <si>
    <t>c.826G&gt;T</t>
  </si>
  <si>
    <t>p.Ala276Ser</t>
  </si>
  <si>
    <t>tolerated(0.8)</t>
  </si>
  <si>
    <t>possibly_damaging(0.455)</t>
  </si>
  <si>
    <t>C:0.3840</t>
  </si>
  <si>
    <t>A:0.5340</t>
  </si>
  <si>
    <t>A:0.7392</t>
  </si>
  <si>
    <t>A:0.7143</t>
  </si>
  <si>
    <t>A:0.6461</t>
  </si>
  <si>
    <t>A:0.5072</t>
  </si>
  <si>
    <t>T:1.669e-05</t>
  </si>
  <si>
    <t>T:9.58e-06</t>
  </si>
  <si>
    <t>T:0.0001285</t>
  </si>
  <si>
    <t>ENST00000374372</t>
  </si>
  <si>
    <t>ENSP00000363492</t>
  </si>
  <si>
    <t>ENST00000374375</t>
  </si>
  <si>
    <t>ENSP00000363495</t>
  </si>
  <si>
    <t>c.431C&gt;A</t>
  </si>
  <si>
    <t>p.Ala144Glu</t>
  </si>
  <si>
    <t>tolerated_low_confidence(0.59)</t>
  </si>
  <si>
    <t>possibly_damaging(0.773)</t>
  </si>
  <si>
    <t>ENST00000217043</t>
  </si>
  <si>
    <t>ENSP00000217043</t>
  </si>
  <si>
    <t>c.14C&gt;T</t>
  </si>
  <si>
    <t>p.Pro5Leu</t>
  </si>
  <si>
    <t>tolerated(0.25)</t>
  </si>
  <si>
    <t>T:0.0004</t>
  </si>
  <si>
    <t>T:0.0005</t>
  </si>
  <si>
    <t>T:1.582e-03</t>
  </si>
  <si>
    <t>T:0.00162</t>
  </si>
  <si>
    <t>T:0.01711</t>
  </si>
  <si>
    <t>T:0.001171</t>
  </si>
  <si>
    <t>T:0.002273</t>
  </si>
  <si>
    <t xml:space="preserve">Only protein coding transcripts and nonsense mediated decay transcripts with an ENST identifier (Ensembl) are shown in the table. </t>
  </si>
  <si>
    <r>
      <rPr>
        <vertAlign val="superscript"/>
        <sz val="11"/>
        <rFont val="Calibri"/>
        <family val="2"/>
        <scheme val="minor"/>
      </rPr>
      <t>a</t>
    </r>
    <r>
      <rPr>
        <sz val="11"/>
        <rFont val="Calibri"/>
        <family val="2"/>
        <scheme val="minor"/>
      </rPr>
      <t>Variant Effect Predictor (VEP) tool: http://useast.ensembl.org/info/docs/tools/vep/index.html. Used the GRCh38.7 version to get the dbNSFP annotation.</t>
    </r>
  </si>
  <si>
    <r>
      <rPr>
        <vertAlign val="superscript"/>
        <sz val="11"/>
        <rFont val="Calibri"/>
        <family val="2"/>
        <scheme val="minor"/>
      </rPr>
      <t>b</t>
    </r>
    <r>
      <rPr>
        <sz val="11"/>
        <rFont val="Calibri"/>
        <family val="2"/>
        <scheme val="minor"/>
      </rPr>
      <t>Coding variants refer to variants located in the exons and splicing junction regions.</t>
    </r>
  </si>
  <si>
    <r>
      <rPr>
        <vertAlign val="superscript"/>
        <sz val="11"/>
        <rFont val="Calibri"/>
        <family val="2"/>
        <scheme val="minor"/>
      </rPr>
      <t>c</t>
    </r>
    <r>
      <rPr>
        <sz val="11"/>
        <rFont val="Calibri"/>
        <family val="2"/>
        <scheme val="minor"/>
      </rPr>
      <t>Visual estimation (rounded to nearest integer) using GTEx Portal charts (RNA-seq data): http://www.gtexportal.org/home/. Reads per kilobase of transcript per million mapped reads (RPKM).</t>
    </r>
  </si>
  <si>
    <r>
      <rPr>
        <vertAlign val="superscript"/>
        <sz val="11"/>
        <rFont val="Calibri"/>
        <family val="2"/>
        <scheme val="minor"/>
      </rPr>
      <t>d</t>
    </r>
    <r>
      <rPr>
        <sz val="11"/>
        <rFont val="Calibri"/>
        <family val="2"/>
        <scheme val="minor"/>
      </rPr>
      <t xml:space="preserve">The variant rs3810818 in </t>
    </r>
    <r>
      <rPr>
        <i/>
        <sz val="11"/>
        <rFont val="Calibri"/>
        <family val="2"/>
        <scheme val="minor"/>
      </rPr>
      <t>VASN</t>
    </r>
    <r>
      <rPr>
        <sz val="11"/>
        <rFont val="Calibri"/>
        <family val="2"/>
        <scheme val="minor"/>
      </rPr>
      <t xml:space="preserve"> is also an intronic variant in </t>
    </r>
    <r>
      <rPr>
        <i/>
        <sz val="11"/>
        <rFont val="Calibri"/>
        <family val="2"/>
        <scheme val="minor"/>
      </rPr>
      <t>CORO7.</t>
    </r>
  </si>
  <si>
    <r>
      <rPr>
        <vertAlign val="superscript"/>
        <sz val="11"/>
        <rFont val="Calibri"/>
        <family val="2"/>
        <scheme val="minor"/>
      </rPr>
      <t>e</t>
    </r>
    <r>
      <rPr>
        <sz val="11"/>
        <rFont val="Calibri"/>
        <family val="2"/>
        <scheme val="minor"/>
      </rPr>
      <t xml:space="preserve">The variant rs3747579 in </t>
    </r>
    <r>
      <rPr>
        <i/>
        <sz val="11"/>
        <rFont val="Calibri"/>
        <family val="2"/>
        <scheme val="minor"/>
      </rPr>
      <t>CORO7</t>
    </r>
    <r>
      <rPr>
        <sz val="11"/>
        <rFont val="Calibri"/>
        <family val="2"/>
        <scheme val="minor"/>
      </rPr>
      <t xml:space="preserve"> is also a missense variant in </t>
    </r>
    <r>
      <rPr>
        <i/>
        <sz val="11"/>
        <rFont val="Calibri"/>
        <family val="2"/>
        <scheme val="minor"/>
      </rPr>
      <t>CORO7-PAM16</t>
    </r>
    <r>
      <rPr>
        <sz val="11"/>
        <rFont val="Calibri"/>
        <family val="2"/>
        <scheme val="minor"/>
      </rPr>
      <t>.</t>
    </r>
  </si>
  <si>
    <t>Type of variants</t>
  </si>
  <si>
    <t>All Ancestries sex-combined additive</t>
  </si>
  <si>
    <t>European ancestry sex-combined additive</t>
  </si>
  <si>
    <t>Number of variants</t>
  </si>
  <si>
    <r>
      <t>λ</t>
    </r>
    <r>
      <rPr>
        <b/>
        <vertAlign val="subscript"/>
        <sz val="11"/>
        <color theme="1"/>
        <rFont val="Calibri"/>
        <family val="2"/>
        <scheme val="minor"/>
      </rPr>
      <t>GC</t>
    </r>
  </si>
  <si>
    <t>All variants</t>
  </si>
  <si>
    <t>All minor allele frequency &gt;5%</t>
  </si>
  <si>
    <r>
      <t xml:space="preserve">All minor allele frequency </t>
    </r>
    <r>
      <rPr>
        <sz val="11"/>
        <color indexed="8"/>
        <rFont val="Calibri"/>
        <family val="2"/>
      </rPr>
      <t>≤</t>
    </r>
    <r>
      <rPr>
        <sz val="11"/>
        <color theme="1"/>
        <rFont val="Calibri"/>
        <family val="2"/>
        <scheme val="minor"/>
      </rPr>
      <t>5%</t>
    </r>
  </si>
  <si>
    <r>
      <t>GWAS sentinel SNPs</t>
    </r>
    <r>
      <rPr>
        <vertAlign val="superscript"/>
        <sz val="11"/>
        <color theme="1"/>
        <rFont val="Calibri"/>
        <family val="2"/>
        <scheme val="minor"/>
      </rPr>
      <t>a</t>
    </r>
  </si>
  <si>
    <t>Ancestry informative markers</t>
  </si>
  <si>
    <r>
      <t>Grid SNPs</t>
    </r>
    <r>
      <rPr>
        <vertAlign val="superscript"/>
        <sz val="11"/>
        <color theme="1"/>
        <rFont val="Calibri"/>
        <family val="2"/>
        <scheme val="minor"/>
      </rPr>
      <t>b</t>
    </r>
  </si>
  <si>
    <r>
      <t>All coding variants</t>
    </r>
    <r>
      <rPr>
        <vertAlign val="superscript"/>
        <sz val="11"/>
        <rFont val="Calibri"/>
        <family val="2"/>
        <scheme val="minor"/>
      </rPr>
      <t>c</t>
    </r>
  </si>
  <si>
    <t>Coding minor allele frequency &gt;5%</t>
  </si>
  <si>
    <r>
      <t xml:space="preserve">Coding minor allele frequency </t>
    </r>
    <r>
      <rPr>
        <sz val="11"/>
        <rFont val="Calibri"/>
        <family val="2"/>
      </rPr>
      <t>≤</t>
    </r>
    <r>
      <rPr>
        <sz val="11"/>
        <rFont val="Calibri"/>
        <family val="2"/>
        <scheme val="minor"/>
      </rPr>
      <t>5%</t>
    </r>
  </si>
  <si>
    <r>
      <t xml:space="preserve">Coding minor allele frequency </t>
    </r>
    <r>
      <rPr>
        <sz val="11"/>
        <rFont val="Calibri"/>
        <family val="2"/>
      </rPr>
      <t>≤</t>
    </r>
    <r>
      <rPr>
        <sz val="11"/>
        <rFont val="Calibri"/>
        <family val="2"/>
        <scheme val="minor"/>
      </rPr>
      <t>1%</t>
    </r>
  </si>
  <si>
    <t xml:space="preserve">a GWAS sentinel SNPs include markers reported in the NHGRI GWAS catalog (for all phenotypes). </t>
  </si>
  <si>
    <t xml:space="preserve">b Grid SNPs were selected to provide a scaffold across the genome for identity-by-descent analyses. </t>
  </si>
  <si>
    <t>c Coding variants refer to variants located in the exons and splicing junction regions.</t>
  </si>
  <si>
    <t>Cohorts</t>
  </si>
  <si>
    <t>Abbreviations</t>
  </si>
  <si>
    <t>Full Name(s)</t>
  </si>
  <si>
    <t>Acknowledgements (funding, personal, groups, …), include funding identification numbers/codes</t>
  </si>
  <si>
    <t>Airwave</t>
  </si>
  <si>
    <t>The Airwave Study</t>
  </si>
  <si>
    <t>We gratefully acknowledge our Amish liaisons, field workers and clinic staff and the extraordinary cooperation and support of the Amish community without which these studies would not have been possible.  The Amish studies are supported by grants and contracts from the NIH, including K01HL116770, U01 HL072515-06, U01 HL84756, U01HL105198, U01 GM074518, . We thank our Amish research volunteers for their long-standing partnership in research, and the research staff at the Amish Research Clinic for their hard work and dedication.</t>
  </si>
  <si>
    <t>The Atherosclerosis Risk in Communities</t>
  </si>
  <si>
    <t>BBMRI</t>
  </si>
  <si>
    <t>The BBMRI-NL embodies the Dutch Biobanking and Biomolecular Research Infrastructure project, including large population cohorts and clinical collections. All studies were financially supported by a Research Infrastructure financed by the Dutch government (NWO 184.021.007).  The Hoorn Diabetes Care System Cohort study likes to acknowledge the Netherlands Organisation for Health Research and Development (ZonMW) for funding (grant number 113102006) and is supported by the Diabetes Care System West-Friesland. Contributing members of the DCS study are: G Nijpels, J Beulens, AMW van der Heijden, F Rutters, S Rauh, JM Dekker, all VU University Medical Center Amsterdam and LM 't Hart, N van Leeuwen, Leiden University Medical Center, Leiden, The Netherlands. NESCOG received funding from NWO/MaGW VIDI-016-065-318; NWO VICI 453-14-005, and this research was part of Science Live, the innovative research program of science center NEMO that enables scientists to carry out real, publishable, peer-reviewed research using NEMO visitors as volunteers. BOSOM received funding from the Dutch Cancer  Society: NKI2009-4363 and would like to thank all their collaborators. HEBON will like to thank all their collaborators. The Longitudinal Aging Study Amsterdam is supported by a grant from the Netherlands Ministry of Health Welfare and Sports, Directorate of Long-Term Care. The authors would like to acknowledge DJH Deeg, M den Heijer, MA Huisman, NM van Schoor, and KMA Swart*. UCP would like to acknowledge Prof.Dr. Olaf H. Klungel and Dr. Anke-Hilse Maitland-Van der Zee for granting access to the UCP study data</t>
  </si>
  <si>
    <t>1958 Birth Cohort</t>
  </si>
  <si>
    <t xml:space="preserve">We are grateful for being able to use the British 1958 Birth Cohort DNA collection. Sample collection funded by the Medical Research Council grant G0000934 and the Wellcome Trust grant 068545/Z/02. Genotyping was funded by the Wellcome Trust.  </t>
  </si>
  <si>
    <t>The BRAVE study genetic epidemiology working group is a collaboration between the Cardiovascular Epidemiology Unit, Department of Public Health and Primary Care, University of Cambridge, UK, the Centre for Control of Chronic Diseases, icddr,b, Dhaka, Bangladesh and the National Institute of Cardiovascular Diseases, Dhaka, Bangladesh.</t>
  </si>
  <si>
    <t>This work was funded by the Medical Research Council of Great Britain (grant number: G9521010D) and the Wellcome Trust Strategic Award (grant number: 083948). The BRIGHT study is extremely grateful to all the patients who participated in the study and the BRIGHT nursing team.  The funders had no role in study design, data collection and analysis. The BRIGHT study genotyping of the Exome chip was funded by Wellcome Trust Strategic Awards 083948 and 085475.</t>
  </si>
  <si>
    <t>CAMCANCER</t>
  </si>
  <si>
    <t>Cambridge Cancer Studies (SEARCH, SIBS, UKO and UKGPCS)</t>
  </si>
  <si>
    <t>CRUK ref: A490/A10124; CRUK ref: C8197/A16565; UKGPCS would also like to thank the following for funding support: The Institute of Cancer Research and The Everyman Campaign, The Prostate Cancer Research Foundation, Prostate Research Campaign UK (now Prostate Action), The Orchid Cancer Appeal, The National Cancer Research Network UK, The National Cancer Research Institute (NCRI) UK. We are grateful for support of NIHR funding to the NIHR Biomedical Research Centre at The Institute of Cancer Research and The Royal Marsden NHS Foundation Trust. UKGPCS should also like to acknowledge the NCRN nurses, data managers and Consultants for their work in the UKGPCS study. A list of UKGPCS collaborators can be found at: http://www.icr.ac.uk/our-research/research-divisions/division-of-genetics-and-epidemiology/oncogenetics/research-projects/ukgpcs/ukgpcs-collaborators</t>
  </si>
  <si>
    <t>The CARDIA Study is conducted and supported by the National Heart, Lung, and Blood Institute in collaboration with the University of Alabama at Birmingham (HHSN268201300025C &amp; HHSN268201300026C), Northwestern University (HHSN268201300027C), University of Minnesota (HHSN268201300028C), Kaiser Foundation Research Institute (HHSN268201300029C), and Johns Hopkins University School of Medicine (HHSN268200900041C). CARDIA is also partially supported by the Intramural Research Program of the National Institute on Aging. Exome Chip genotyping was supported from grants R01-HL093029 and U01- HG004729 to MF. This manuscript has been reviewed and approved by CARDIA for scientific content.</t>
  </si>
  <si>
    <t>The Cebu Longitudinal Health and Nutrition Survey (CLHNS) was supported by National Institutes of Health grants DK078150, TW005596, HL085144 and TW008288 and pilot funds from RR020649, ES010126, and DK056350. We thank the USC-Office of Population Studies Foundation research and data collection teams and the study participants who generously provided their time for this study.</t>
  </si>
  <si>
    <t>CROATIA_Korcula</t>
  </si>
  <si>
    <t>The CROATIA-Korcula study was funded by grants from the Medical Research Council (UK), European Commission Framework 6 project EUROSPAN (Contract No. LSHG-CT-2006-018947), European Commission Framework 7 project BBMR-LPC (grant 313010), Republic of Croatia Ministry of Science, Education and Sports research grant (216-1080315-0302) and Croatian Science Foundation (grant 8875). We would like to acknowledge the invaluable contributions of the recruitment team in Korcula, the administrative teams in Croatia and Edinburgh and the people of Korcula.  The SNP genotyping for the CROATIA-Korcula cohort was performed in Helmholtz Zentrum München, Neuherberg, Germany</t>
  </si>
  <si>
    <t>D2D2007</t>
  </si>
  <si>
    <t>The FIN-D2D 2007 study was supported by funds from the hospital districts of Pirkanmaa; Southern Ostrobothnia; North Ostrobothnia; Central Finland and Northern Savo; the Finnish National Public Health Institute; the Finnish Diabetes Association; the Ministry of Social Affairs and Health in Finland; Finland’s Slottery Machine Association; the Academy of Finland [grant number 129293] and Commission of the European Communities, Directorate C-Public Health [grant agreement no. 2004310].  The Broad Genomics Platform performed the genotyping.</t>
  </si>
  <si>
    <t>deCODE</t>
  </si>
  <si>
    <t>We thank participants in deCODE cardiovascular- and obesity studies and collaborators for their cooperation. The research performed at deCODE Genetics was part funded through the European Community's Seventh Framework Programme (FP7/2007-2013), ENGAGE project, grant agreement HEALTH-F4-2007- 201413.</t>
  </si>
  <si>
    <t xml:space="preserve">This study was supported in part by R01 HL67348, R01 HL092301, R01 NS058700 (to DWB) and the General Clinical Research Centre of the Wake Forest School of Medicine (M01 RR07122, F32 HL085989). The authors thank the other investigators, the staff, and the participants of the DHS study for their valuable contributions. </t>
  </si>
  <si>
    <t>DIACORE</t>
  </si>
  <si>
    <t xml:space="preserve">The DPS has been financially supported by grants from the Academy of Finland (117844 and 40758, 211497, and 118590 (MU); The EVO funding of the Kuopio University Hospital from Ministry of Health and Social Affairs (5254), Finnish Funding Agency for Technology and Innovation (40058/07), Nordic Centre of Excellence on ÔSystems biology in controlled dietary interventions and cohort studies, SYSDIET (070014), The Finnish Diabetes Research Foundation, Yrjš Jahnsson Foundation (56358), Sigrid Juselius Foundation and TEKES grants 70103/06 and 40058/07. </t>
  </si>
  <si>
    <t>DR's EXTRA Study</t>
  </si>
  <si>
    <t>The DR's EXTRA Study was supported by grants to Rainer Rauramaa by the Ministry of Education and Culture of Finland (627;2004-2011), Academy of Finland (102318; 123885), Kuopio University Hospital, Finnish Diabetes Association, Finnish Heart Association, Päivikki and Sakari Sohlberg Foundation and by grants from European Commission FP6 Integrated Project (EXGENESIS); LSHM-CT-2004-005272, City of Kuopio and Social Insurance Institution of Finland (4/26/2010).</t>
  </si>
  <si>
    <t>EGCUT work was supported by IUT20-60 from the Estonian Research Counci;by the European Regional Development Fund to the Centre of Excellence in Genomics and Translational Medicine (GenTransMed); EGCUT were further supported by the US National Institute of Health [R01DK075787].</t>
  </si>
  <si>
    <t>eMerge</t>
  </si>
  <si>
    <t>eMERGE-Seattle</t>
  </si>
  <si>
    <t xml:space="preserve">NIH UO1HG008657, UO1HG06375 and UO1AG006781;  and a State of Washington Life Sciences Discovery Award (265508) to the Northwest Institute of Genetic Medicine and UO1 AG 06781 grant.  </t>
  </si>
  <si>
    <t>EPIC-CVD Consortium</t>
  </si>
  <si>
    <t>CHD case ascertainment and validation and genotyping  in EPIC-CVD were principally supported by grants awarded to the University of Cambridge from the EU Framework Programme 7 (HEALTH-F2-2012-279233), the UK Medical Research Council (G0800270) and British Heart Foundation (SP/09/002), and the European Research Council (268834). We thank all EPIC participants and staff for their contribution to the study, the laboratory teams at the Medical Research Council Epidemiology Unit for sample management and Cambridge Genomic Services for genotyping, Sarah Spackman for data management, and the team at the EPIC-CVD Coordinating Centre for study coordination and administration.</t>
  </si>
  <si>
    <t>EPIC-InterAct</t>
  </si>
  <si>
    <t>We thank all EPIC participants and staff for their contribution to the EPIC-InterAct study. Funding for the EPIC-InterAct project was provided by the EU FP6 programme (LSHM_CT_2006_037197).</t>
  </si>
  <si>
    <t>EPIC-Norfolk</t>
  </si>
  <si>
    <t xml:space="preserve">EPIC-Norfolk is supported by programme grants from the Medical Research Council UK (G1000143) and Cancer Research UK (C864/A14136) and with additional support from the European Union, Stroke Association, British Heart Foundation, Research into Ageing, Department of Health, The Wellcome Trust and the Food Standards Agency.  NJW, CL and RAS also acknowledge support from the Medical Research Council, UK (MC_UU_12015/1; MC_PC_13048). We thank all EPIC participants and staff for their contribution to the study, and the laboratory teams at the MRC Epidemiology Unit for sample management. </t>
  </si>
  <si>
    <t xml:space="preserve">The study was supported in part by a grant from the German Federal Ministry of Education and Research (BMBF) to the German Center for Diabetes Research (DZD e.V.). The recruitment phase of the EPIC-Potsdam study was supported by the Federal Ministry of Science, Germany (01 EA 9401) and the European Union (SOC 95201408 05 F02). The follow-up of the EPIC-Potsdam study was supported by German Cancer Aid (70-2488-Ha I) and the European Community (SOC 98200769 05 F02). Exome chip genotyping of EPIC-Potsdam samples was carried out under supervision of Per Hoffmann and Stefan Herms at Life &amp; Brain GmbH, Bonn. We thank all EPIC-Potsdam participants for their invaluable contribution to the study.  </t>
  </si>
  <si>
    <t>EpiHealth was supported by the Swedish Research Council strategic research network Epidemiology for Health, Uppsala University and Lund University. Genotyping in EpiHealth was supported by Swedish Heart-Lung Foundation (grant no. 20120197 and 20140422), Knut och Alice Wallenberg Foundation (grant no. 2013.0126), and Swedish Research Council (grant no. 2012-1397). Genotyping was performed by the SNP&amp;SEQ Technology Platform in Uppsala. We thank the EpiHealth participants for their dedication and commitment.</t>
  </si>
  <si>
    <t>EXTEND data were provided by the Peninsula Research Bank, part of the NIHR Exeter Clinical Research Facility</t>
  </si>
  <si>
    <t xml:space="preserve">We thank the Fenland Study volunteers for their time and help, the General Practitioners and practice staff for assistance with recruitment, the Investigators, Co-ordination team and the Epidemiology Field, Data and Laboratory teams. The Fenland Study is funded by the MRC (MC_U106179471) and Wellcome Trust. NJW, CL and RAS also acknowledge support from the Medical Research Council, UK (MC_UU_12015/1; MC_PC_13046). </t>
  </si>
  <si>
    <t>FHS</t>
  </si>
  <si>
    <t xml:space="preserve">Family Heart Study </t>
  </si>
  <si>
    <t>The Family Heart Study (FamHS) research was supported by NIH grants: R01-HL-117078 from NHLBI, and R01-DK-089256 from NIDDK.</t>
  </si>
  <si>
    <t>VS was supported by the Academy of Finland, grant #139635, and the Finnish Foundation for Cardiovascular Research.  PJ was supported by [TBA].  The Broad Genomics Platform performed the genotyping.</t>
  </si>
  <si>
    <t>FramHS</t>
  </si>
  <si>
    <t>The FUSION study was supported by DK093757, DK072193, DK062370, and ZIA-HG000024.   The Center for Inherited Disease Research (CIDR) and the Broad Genomics Platform performed the genotyping.</t>
  </si>
  <si>
    <t>This study was partially supported by Regione FVG (L.26.2008) and Italian Ministry of Health (GR-2011-02349604).</t>
  </si>
  <si>
    <t xml:space="preserve">The GRAPHIC Study was funded by the Brtiish Heart Foundation (BHF) (RG/200004). Exome array genotyping was funded by the NIHR and the Wellcome Trust (083948/B/07/Z).  NM is funded by the NIHR Leicester Cardiovascular Biomedical Research Unit. CPN is funded by the BHF (CH/03/001). NJS holds a Chair funded by the BHF (CH/03/001) and is a NIHR Senior Investigator. </t>
  </si>
  <si>
    <t>GS</t>
  </si>
  <si>
    <t>Generation Scotland</t>
  </si>
  <si>
    <t>Generation Scotland received core funding from the Chief Scientist Office of the Scottish Government Health Directorate CZD/16/6 and the Scottish Funding Council HR03006. Genotyping of the GS:SFHS samples was carried out by staff at the Genetics Core Laboratory at the Wellcome Trust Clinical Research Facility, Edinburgh, Scotland and was funded by the UK's Medical Research Council. We are grateful to the families who took part in GS:SFHS, the GPs and Scottish School of Primary Care for their help in recruiting them, and the whole GS team, which includes academic researchers, clinic staff, laboratory technicians, clerical workers, statisticians and research managers. We are grateful to the families who took part in GS:SFHS, the GPs and Scottish School of Primary Care for their help in recruiting them, and the whole GS team, which includes academic researchers, clinic staff, laboratory technicians, clerical workers, statisticians and research managers</t>
  </si>
  <si>
    <t>Health2006</t>
  </si>
  <si>
    <t>Establishment of the Health2006 cohort was financially supported by The Velux Foundation; The Danish Medical Research Coun­cil, Danish Agency for Science, Technology and Innovation; The Aase and Ejner Danielsens Foundation; ALK-Abelló A/S (Hørsholm, Denmark), Timber Merchant Vilhelm Bangs Foundation, MEKOS Laboratories (Denmark), and Research Centre for Prevention and Health, the Capital Region of Denmark.</t>
  </si>
  <si>
    <t>HELIC</t>
  </si>
  <si>
    <t>Hellenic Isolated Cohorts: MANOLIS and POMAK</t>
  </si>
  <si>
    <t xml:space="preserve">
This work was funded by the Wellcome Trust (098051) and the European Research Council (ERC-2011-StG 280559-SEPI). The MANOLIS cohort is named in honour of Manolis Giannakakis, 1978-2010. We thank the residents of the Mylopotamos villages, and of the Pomak villages, for taking part. The HELIC study has been supported by many individuals who have contributed to sample collection (including A. Athanasiadis, O. Balafouti, C. Batzaki, G. Daskalakis, E. Emmanouil, C. Giannakaki, M. Giannakopoulou, A. Kaparou, V. Kariakli, S. Koinaki, D. Kokori, M. Konidari, H. Koundouraki, D. Koutoukidis, V. Mamakou, E. Mamalaki, E. Mpamiaki, M. Tsoukana, D. Tzakou, K. Vosdogianni, N. Xenaki, E. Zengini), data entry (T. Antonos, D. Papagrigoriou, B. Spiliopoulou), sample logistics (S. Edkins, E. Gray), genotyping (R. Andrews, H. Blackburn, D. Simpkin, S. Whitehead), research administration (A. Kolb-Kokocinski, S. Smee, D. Walker) and informatics (M. Pollard, J. Randall).</t>
  </si>
  <si>
    <t>HRS</t>
  </si>
  <si>
    <t>Health and Retirement Study</t>
  </si>
  <si>
    <t xml:space="preserve">HRS is supported by the National Institute on Aging (NIA U01AG009740).  The genotyping was funded separately by the National Institute on Aging (RC2 AG036495, RC4 AG039029) and was conducted by the NIH Center for Inherited Disease Research (CIDR) at Johns Hopkins University.  Genotyping quality control and final preparation of the data were performed by the University of Michigan School of Public Health.  A portion of this work was also supported by R03 AG046398. </t>
  </si>
  <si>
    <t>The Nord-Trøndelag Health Study (The HUNT Study) is a collaboration between the HUNT Research Centre (Faculty of Medicine, Norwegian University of Science and Technology NTNU), the Nord-Trøndelag County Council, the Central Norway Health Authority and the Norwegian Institute of Public Health.  The HUNT-MI study is a collaboration between investigators from the HUNT study and the University of Michigan. Genotyping services for 3992 samples were provided by the Northwest Genomics Center at the University of Washington, Department of Genome Sciences, under US Federal Government contract number HHSN268201100037C from the National Heart, Lung, and Blood Institute.  We thank the HUNT study participants for their contributions to scientific research.</t>
  </si>
  <si>
    <t xml:space="preserve">Data collection in the Inter99 study was supported economically by The Danish Medical Research Council, The Danish Centre for Evaluation and Health Technology Assessment, Novo Nordisk, Copenhagen County, The Danish Heart Foundation, The Danish Pharmaceutical Association, Augustinus foundation, Ib Henriksen foundation and Becket foundation. LLNH was supported by the Health Insurance Foundation (grant No. 2010 B 131). </t>
  </si>
  <si>
    <t>This research was supported by funding from the National Institute of Diabetes and Digestive and Kidney Diseases (NIDDK): DK097524, DK085175, and DK087914; the National Institute for Heart, Lung, and Blood Disorders (NHLBI): HL060944, HL061019, HL060919, HL060944, HL061019, and  the National Human Genome Research Institute (NHGRI): HG007112. The provision of genotyping data was supported in part by funds from the Department of Internal Medicine at the University of Michigan.</t>
  </si>
  <si>
    <t>We thank the Jackson Heart Study (JHS) participants and staff for their contributions to this work. The JHS is supported by contracts HHSN268201300046C, HHSN268201300047C, HHSN268201300048C, HHSN268201300049C, HHSN268201300050C from the National Heart, Lung, and Blood Institute and the National Institute on Minority Health and Health Disparities.</t>
  </si>
  <si>
    <t>KORA</t>
  </si>
  <si>
    <t>The KORA study was initiated and financed by the Helmholtz Zentrum München – German Research Center for Environmental Health, which is funded by the German Federal Ministry of Education and Research (BMBF) and by the State of Bavaria. Furthermore, KORA research was supported within the Munich Center of Health Sciences (MC-Health), Ludwig-Maximilians-Universität, as part of LMUinnovativ.</t>
  </si>
  <si>
    <t>Cooperative Health Research in the Region of Augsburg 4</t>
  </si>
  <si>
    <t>The KORA study was initiated and financed by the Helmholtz Zentrum München – German Research Center for Environmental Health, which is funded by the German Federal Ministry of Education and Research (BMBF) and by the State of Bavaria. Furthermore, KORA research was supported within the Munich Center of Health Sciences (MC-Health), Ludwig-Maximilians-Universität, as part of LMUinnovativ. I.M.H. received funding from the Bundesministerium für Bildung und Forschung (BMBF 01ER1206, 01ER1507) and from the National Institutes of Health (NIH R01DK075787).</t>
  </si>
  <si>
    <t>Leipzig</t>
  </si>
  <si>
    <t>This work was supported by the Kompetenznetz Adipositas (Competence network for Obesity) funded by the Federal Ministry of Education and Research (German Obesity Biomaterial Bank; FKZ 01GI1128), and by grants from the Collaborative Research Center funded by the German Research Foundation (CRC 1052 "Obesity mechanisms”; C01, B01, B03).</t>
  </si>
  <si>
    <t>LOLIPOP-Exome, LOLIPOP-OmniEE</t>
  </si>
  <si>
    <t>Academy of Finland (137,544 and 272,741), the Finnish Cardiovascular Research Foundation.  Genotyping was conducted at the Genetic Resources Core Facility (GRCF) at the Johns Hopkins Institute of Genetic Medicine.</t>
  </si>
  <si>
    <t>We thank all participants and staff of the André and France Desmarais Montreal Heart Institute’s (MHI) Biobank. The genotyping of the MHI Biobank was done at the MHI Pharmacogenomic Centre and funded by the MHI Foundation.</t>
  </si>
  <si>
    <t>The MORGAM Project received funding during the work from  European Union FP 7 projects CHANCES (HEALTH-F3-2010-242244) and BiomarCaRE (278913). This has supported central coordination and part of the activities of the The MORGAM Data Centre, at THL in Helsinki, Finland. MORGAM Participating Centres are funded by regional and national governments, research councils, charities, and other local sources</t>
  </si>
  <si>
    <t>NEO</t>
  </si>
  <si>
    <t xml:space="preserve">The authors of the NEO study thank all individuals who participated in the Netherlands Epidemiology in Obesity study, all participating general practitioners for inviting eligible participants and all research nurses for collection of the data. We thank the NEO study group, Pat van Beelen, Petra Noordijk and Ingeborg de Jonge for the coordination, lab and data management of the NEO study. The genotyping in the NEO study was supported by the Centre National de Génotypage (Paris, France), headed by Jean-Francois Deleuze. The NEO study is supported by the participating Departments, the Division and the Board of Directors of the Leiden University Medical Center, and by the Leiden University, Research Profile Area Vascular and Regenerative Medicine. Dennis Mook-Kanamori is supported by Dutch Science Organization (ZonMW-VENI Grant 916.14.023). </t>
  </si>
  <si>
    <t>NHPAC and GBTDS</t>
  </si>
  <si>
    <t>The Nutrition and Health of Ageing Population in China study and the Guizhou-Bijie Type 2 Diabetes Study  study</t>
  </si>
  <si>
    <t>The NHPAC study and the GBTDS study are supported by the National Basic Research Program of China (973 Program 2012CB524900), and the National Natural Science Foundation of China (30930081, 81170734, 81321062, and 81471013). We are grateful to all participants of the NHAPC and the GBTDS studies, and also thank our colleagues at the laboratory and local CDC staffs of Beijing and Shanghai, as well as local staffs of the  Bijie People's Hospital for their assistance with data collection.</t>
  </si>
  <si>
    <t xml:space="preserve">Nijmegen </t>
  </si>
  <si>
    <t xml:space="preserve">The Nijmegen Biomedical Study is a population-based survey conducted at the Department for Health Evidence and the Department of Laboratory Medicine of the Radboud university medical center. Principal investigators of the Nijmegen Biomedical Study are L.A.L.M. Kiemeney, A.L.M. Verbeek, D.W. Swinkels en B. Franke. The NBS exome chip data were generated in a research project that was financially supported by BBMRI-NL, a Research Infrastructure financed by the Dutch government (NWO 184.021.007). The Nijmegen Bladder Cancer Study,  NBCS exome chip data were generated in a research project that was financially supported by BBMRI-NL, a Research Infrastructure financed by the Dutch government (NWO 184.021.007). </t>
  </si>
  <si>
    <t>OBB</t>
  </si>
  <si>
    <t>Oxford Biobank</t>
  </si>
  <si>
    <t>The Oxford Biobank is supported by the Oxford Biomedical Research Centre and part of the National NIHR Bioresource.</t>
  </si>
  <si>
    <t>ENDO and PCOS</t>
  </si>
  <si>
    <t xml:space="preserve">Genotyping was funded by the Wellcome Trust under awarda WT064890 and WT086596.  Analysis of genetic data was funded by the Wellcome Trust under awards WT098017, WT086596 and WT090532. </t>
  </si>
  <si>
    <t>PIVUS and ULSAM</t>
  </si>
  <si>
    <t>Prospective Investigation of the Vasculature in Uppsala Seniors and Uppsala Longitudinal Study of Adult Men</t>
  </si>
  <si>
    <t>These projects were supported by Knut and Alice Wallenberg Foundation (Wallenberg Academy Fellow), European Research Council (ERC Starting Grant), Swedish Diabetes Foundation (2013-024), Swedish Research Council (2012-1397, 2012-1727, and 2012-2215), Marianne and Marcus Wallenberg Foundation, County Council of Dalarna, Dalarna University, and Swedish Heart-Lung Foundation (20120197).  The computations were performed on resources provided by SNIC through Uppsala Multidisciplinary Center for Advanced Computational Science (UPPMAX) under Project b2011036.  Genotyping was funded by the Wellcome Trust under awards WT064890 and WT086596.  Analysis of genetic data was funded by the Wellcome Trust under awards WT098017 and WT090532.  We thank the SNP&amp;SEQ Technology Platform in Uppsala (www.genotyping.se) for excellent genotyping.</t>
  </si>
  <si>
    <t>We are thankful to all the study participants in Pakistan. Recruitment in PROMIS was funded through grants available to investigators at the Center for Non-Communicable Diseases, Pakistan (Danish Saleheen and Philippe Frossard) and investigators at the University of Cambridge, UK (Danish Saleheen and John Danesh). Field-work, genotyping, and standard clinical chemistry assays in PROMIS were principally supported by grants awarded to the University of Cambridge from the British Heart Foundation, UK Medical Research Council, Wellcome Trust, EU Framework 6-funded Bloodomics Integrated Project, Pfizer, Novartis, and Merck.</t>
  </si>
  <si>
    <t>The Western Australian Pregnancy Cohort (Raine) Study</t>
  </si>
  <si>
    <t>The RISC study was supported by European Union grant QLG1-CT-2001-01252 and AstraZeneca. The initial genotyping of the RISC samples was funded by Merck &amp; Co Inc.</t>
  </si>
  <si>
    <t xml:space="preserve">The generation and management of the Illumina exome chip v1.0 array data for the Rotterdam Study (RS-I) was executed by the Human Genotyping Facility of the Genetic Laboratory of the Department of Internal Medicine, Erasmus MC, Rotterdam, The Netherlands. The Exome chip array data set was funded by the Genetic Laboratory of the Department of Internal Medicine, Erasmus MC, from the Netherlands Genomics Initiative (NGI)/Netherlands Organisation for Scientific Research (NWO)-sponsored Netherlands Consortium for Healthy Aging (NCHA; project nr. 050-060-810); the Netherlands Organization for Scientific Research (NWO; project number 184021007) and by the Rainbow Project (RP10; Netherlands Exome Chip Project) of the Biobanking and Biomolecular Research Infrastructure Netherlands (BBMRI-NL; www.bbmri.nl ). We thank Ms. Mila Jhamai, Ms. Sarah Higgins, and Mr. Marijn Verkerk for their help in creating the exome chip database, and Carolina Medina-Gomez, MSc, Lennard Karsten, MSc, and Linda Broer PhD for QC and variant calling. Variants were called using the best practice protocol developed by Grove et al. as part of the CHARGE consortium exome chip central calling effort. The Rotterdam Study is funded by Erasmus Medical Center and Erasmus University, Rotterdam, Netherlands Organization for the Health Research and Development (ZonMw), the Research Institute for Diseases in the Elderly (RIDE), the Ministry of Education, Culture and Science, the Ministry for Health, Welfare and Sports, the European Commission (DG XII), and the Municipality of Rotterdam. The authors are grateful to the study participants, the staff from the Rotterdam Study and the participating general practitioners and pharmacists. </t>
  </si>
  <si>
    <t>SHIP is part of the Community Medicine Research net of the University of Greifswald, Germany, which is funded by the Federal Ministry of Education and Research (grants no. 01ZZ9603, 01ZZ0103, and 01ZZ0403), the Ministry of Cultural Affairs as well as the Social Ministry of the Federal State of Mecklenburg-West Pomerania, and the network ‘Greifswald Approach to Individualized Medicine (GANI_MED)’ funded by the Federal Ministry of Education and Research (grant 03IS2061A). ExomeChip data have been supported by the Federal Ministry of Education and Research (grant no. 03Z1CN22) and the Federal State of Mecklenburg-West Pomerania. The University of Greifswald is a member of the Caché Campus program of the InterSystems GmbH.</t>
  </si>
  <si>
    <t>SORBS</t>
  </si>
  <si>
    <t xml:space="preserve">This work was supported by the Federal Ministry of Education and Research (BMBF), Germany, FKZ: 01EO1501 (AD2-060E).
This project was further supported by grants from the Collaborative Research Center funded by the German Research Foundation (CRC 1052; C01, B01, B03), from the German Diabetes Association, from the DHFD (Diabetes Hilfs- und Forschungsfonds Deutschland) and from Boehringer Ingelheim Foundation .
We thank all those who participated in the study. Sincere thanks are given to Knut Krohn (Microarray Core Facility of the Interdisciplinary Centre for Clinical Research, University of Leipzig) for the genotyping support.
</t>
  </si>
  <si>
    <t>TwinsUK study was funded by the Wellcome Trust; European Community’s Seventh Framework Programme (FP7/2007-2013). The study also receives support from the National Institute for Health Research (NIHR) BioResource Clinical Research Facility and Biomedical Research Centre based at Guy's and St Thomas' NHS Foundation Trust and King's College London.</t>
  </si>
  <si>
    <t>The Vejle Diabetes Biobank was supported by The Danish Research Council for Independent Research</t>
  </si>
  <si>
    <t>The WGHS is supported by the National Heart, Lung, and Blood Institute (HL043851 and HL080467) and  the National Cancer Institute (CA047988 and UM1CA182913), with collaborative scientific support and funding for genotyping provided by Amgen.</t>
  </si>
  <si>
    <t>The WHI program is funded by the National Heart, Lung, and Blood Institute, the US National Institutes of Health and the US Department of Health and Human Services (HHSN268201100046C, HHSN268201100001C, HHSN268201100002C, HHSN268201100003C, HHSN268201100004C and HHSN271201100004C). Exome chip data and analysis were supported through the Exome Sequencing Project (NHLBI RC2 HL-102924, RC2 HL-102925 and RC2 HL-102926), the Genetics and Epidemiology of Colorectal Cancer Consortium (NCI CA137088), and the Genomics and Randomized Trials Network (NHGRI U01-HG005152). The authors thank the WHI investigators and staff for their dedication and the study participants for making the program possible.</t>
  </si>
  <si>
    <t>The Young Finns Study has been financially supported by the Academy of Finland: grants 286284, 134309 (Eye), 126925, 121584, 124282, 129378 (Salve), 117787 (Gendi), and 41071 (Skidi); the Social Insurance Institution of Finland; Kuopio, Tampere and Turku University Hospital Medical Funds (grant X51001); Juho Vainio Foundation; Paavo Nurmi Foundation; Finnish Foundation of Cardiovascular Research ; Finnish Cultural Foundation; Tampere Tuberculosis Foundation ; Emil Aaltonen Foundation ; and Yrjö Jahnsson Foundation. The expert technical assistance in the statistical analyses by Ville Aalto and Irina Lisinen is gratefully acknowledged.</t>
  </si>
  <si>
    <t>Individual Authors</t>
  </si>
  <si>
    <t>Alex P. Reiner</t>
  </si>
  <si>
    <t>Alex P. Reiners was supported by R01 DK089256-05.</t>
  </si>
  <si>
    <t>Alex W Hewitt</t>
  </si>
  <si>
    <t>AWH is supported by an NHMRC Practitioner Fellowship (APP1103329).</t>
  </si>
  <si>
    <t>Alisa K. Manning</t>
  </si>
  <si>
    <t>Dr. Alisa K. Manning received funding from NIH/NIDDK K01 DK107836</t>
  </si>
  <si>
    <t>Andrew Hattersley</t>
  </si>
  <si>
    <t>Andrew T Hattersley is a Wellcome Trust Senior Investigator (WT098395); and a National Institute of Health Research Senior Investigator.</t>
  </si>
  <si>
    <t>Andrew Morris</t>
  </si>
  <si>
    <t>Andrew P Morris is a Wellcome Trust Senior Fellow in Basic Biomedical Science (grant number WT098017).</t>
  </si>
  <si>
    <t>Andrew R Wood</t>
  </si>
  <si>
    <t>Andrew R Wood is supported by the European Research Council (grant 323195: SZ-245 50371-GLUCOSEGENES-FP7-IDEAS-ERC)</t>
  </si>
  <si>
    <t>Anne Justice</t>
  </si>
  <si>
    <t>Anneke den Hollander (EUGENDA)</t>
  </si>
  <si>
    <t xml:space="preserve">The research leading to these results has received funding from the European Research Council under the European Union's Seventh Framework Programme (FP/2007-2013) / ERC Grant Agreement n. 310644 (MACULA). </t>
  </si>
  <si>
    <t xml:space="preserve">Bratati Kahali and Elizabeth K. Speliotes </t>
  </si>
  <si>
    <t>BK and EKS were supported by the Doris Duke Medical Foundation, NIH grant R01DK106621-01, the University of Michigan Internal Medicine Department, Division of Gastroenterology, the University of Michigan Biological Sciences Scholars Program and The Central Society for Clinical Research</t>
  </si>
  <si>
    <t>Chelsea K. Raulerson</t>
  </si>
  <si>
    <t>NIH grants T32GM067553 and U01DK105561</t>
  </si>
  <si>
    <t>Claus Oxvig</t>
  </si>
  <si>
    <t>The Danish Council for Independent Research, the Novo Nordisk Foundation, and Lundbeckfonden</t>
  </si>
  <si>
    <t>Cristen J. Willer</t>
  </si>
  <si>
    <t>C.J.W. is supported by HL094535 and HL109946 from the National Heart, Lung and Blood Institute.</t>
  </si>
  <si>
    <t>Dajiang J. Liu</t>
  </si>
  <si>
    <t>DJL is supported by 1R01HG008983-01 and 1R21DA040177-01</t>
  </si>
  <si>
    <t>Daniel R. Witte</t>
  </si>
  <si>
    <t>Daniel R. Witte is supported by the Danish Diabetes Academy, which is funded by the Novo Nordisk Foundation.</t>
  </si>
  <si>
    <t>FINRISK/Veikko Salomaa</t>
  </si>
  <si>
    <t>Dr. Salomaa has been supported by the Finnish Foundation for Cardiovascular Research</t>
  </si>
  <si>
    <t>Folkert W. Asselbergs</t>
  </si>
  <si>
    <t>Folkert W. Asselbergs is supported by a Dekker scholarship-Junior Staff Member 2014T001 – Netherlands Heart Foundation and UCL Hospitals NIHR Biomedical Research Centre.</t>
  </si>
  <si>
    <t>Fotios Drenos</t>
  </si>
  <si>
    <t>FD is supported by the UK Medical Research Council (MC_UU_12013/1-9)</t>
  </si>
  <si>
    <t>Gabriel Cuellar-Partida</t>
  </si>
  <si>
    <t>G.C.P received scholarship support from the University of Queensland and QIMR Berghofer</t>
  </si>
  <si>
    <t>Guillaume Lettre</t>
  </si>
  <si>
    <t>GL is funded by the Montreal Heart Institute Foundation and the Canada Research Chair program.</t>
  </si>
  <si>
    <t>Hanieh Yaghootkar</t>
  </si>
  <si>
    <t xml:space="preserve">H.Y. is supported by the European Research Council grant: 323195; SZ-245 50371-GLUCOSEGENES-FP7-IDEAS-ERC. </t>
  </si>
  <si>
    <t>Hanieh Yaghootkar &amp; Tim Frayling</t>
  </si>
  <si>
    <t>Heather Highland</t>
  </si>
  <si>
    <t>I. Sadaf Farooqi</t>
  </si>
  <si>
    <t>This work was supported by the Wellcome Trust (098497/Z/12/Z; WT098051), Medical Research Council, NIHR Cambridge Biomedical Research Centre, Bernard Wolfe Health Neuroscience Endowment, European Research Council and NIH grant DK064265 (GLM), the European Community’s Seventh Framework Programme (FP7/2007-2013) project Beta-JUDO n°279153 (ISF, AK).</t>
  </si>
  <si>
    <t>Inês Barroso</t>
  </si>
  <si>
    <t>This work was supported by the Wellcome Trust (WT098051), NIHR Cambridge Biomedical Research Centre.</t>
  </si>
  <si>
    <t>Iris M Heid</t>
  </si>
  <si>
    <t>BMBF 01ER1206 and BMBF 01ER1507</t>
  </si>
  <si>
    <t>j. Andrew Pospisilik</t>
  </si>
  <si>
    <t>Jeff Haessler</t>
  </si>
  <si>
    <t>Jeff Haessler was supported by NHLBI R21 HL121422-02.</t>
  </si>
  <si>
    <t>Joel N. Hirschhorn</t>
  </si>
  <si>
    <t>NIH R01DK075787</t>
  </si>
  <si>
    <t>Kari North</t>
  </si>
  <si>
    <t>KEN was supported by R01-DK089256 ; 2R01HD057194; U01HG007416;  R01DK101855, and AHA grant 13GRNT16490017</t>
  </si>
  <si>
    <t>Karen Mohlke</t>
  </si>
  <si>
    <t>Manuel A. Rivas</t>
  </si>
  <si>
    <t>Nuffield Department of Clinical Medicine Award, Clarendon Scholarshop</t>
  </si>
  <si>
    <t>Mark I McCarthy</t>
  </si>
  <si>
    <t>Markus Perola</t>
  </si>
  <si>
    <t>We wish to thank THL DNA laboratory for its skillful wrok. Funding: Finnish Academy grants no. 255935 and 269517; The EU FP7 under grant agreements nr. 313010 (BBMRI-LPC), nr. 305280 (MIMOmics), and HZ2020 633589 (Ageing with Elegans), The Yrjö Jahnsson Foundation, The Juho Vainio Foundation</t>
  </si>
  <si>
    <t>Mengmeng Du</t>
  </si>
  <si>
    <t>M.D. is supported by the National Cancer Institute, National Institutes of Health (R25 CA94880, P30 CA008748).</t>
  </si>
  <si>
    <t>Michael O. Woods</t>
  </si>
  <si>
    <t>Funding was kindly provided to M.O.W. by the Canadian Cancer Society Research Institute</t>
  </si>
  <si>
    <t>Niels Grarup, Torben Hansen, Oluf Pedersen, Henrik Vestergaard, Jette Bork-Jensen, Mette Hollensted, Vincent Appel, Christian T. Have, Anette P. Gjesing, Johanne M. Justesen, Kristine H. Allin</t>
  </si>
  <si>
    <t>The Novo Nordisk Foundation Center for Basic Metabolic Research is an independent Research Center at the University of Copenhagen partially funded by an unrestricted donation from the Novo Nordisk Foundation (www.metabol.ku.dk).</t>
  </si>
  <si>
    <t>Pal R. Njolstad</t>
  </si>
  <si>
    <t>European Research Council (AdG; 293574), Research Council of Norway, University of Bergen, KG Jebsen Foundation, Helse Vest, Norwegian Diabetes Association</t>
  </si>
  <si>
    <t>Panos Deloukas</t>
  </si>
  <si>
    <t>Patrick T. Ellinor</t>
  </si>
  <si>
    <t>This work was supported by grants from the National Institutes of Health to Dr. Ellinor (1RO1HL092577, R01HL128914, K24HL105780). Dr. Ellinor is also supported by an Established Investigator Award from the American Heart Association (13EIA14220013) and by the Fondation Leducq (14CVD01).</t>
  </si>
  <si>
    <t>Paul L. Auer</t>
  </si>
  <si>
    <t>Paul L. Auer was supported by NHLBI R21 HL121422-02 and R01 DK089256-05.</t>
  </si>
  <si>
    <t>Paul L. Huang</t>
  </si>
  <si>
    <t>NIH grants NS33335 and HL57818</t>
  </si>
  <si>
    <t>Rebecca S. Fine</t>
  </si>
  <si>
    <t>NIH T32 GM096911-05</t>
  </si>
  <si>
    <t>Sander W. van der Laan</t>
  </si>
  <si>
    <t>Sander W. van der Laan is funded through grants from the Netherlands CardioVascular Research Initiative (“GENIUS”, CVON2011-19), the Interuniversity Cardiology Institute of the Netherlands (ICIN, 09.001), and through the FP7 EU project CVgenes@target (HEALTH-F2-2013-601456).</t>
  </si>
  <si>
    <t>Simon de Denus</t>
  </si>
  <si>
    <t>Simon de Denus is supported by the Montreal Heart Institute Foundation and is the recipient of the Université de Montréal Beaulieu-Saucier Chair in Pharmacogenomics.</t>
  </si>
  <si>
    <t>Steven A. Lubitz</t>
  </si>
  <si>
    <t>NIH grants K23HL114724 and Doris Duke Charitable Foundation Clinical Scientist Development Award 2014105</t>
  </si>
  <si>
    <t xml:space="preserve">Stuart MacGregor </t>
  </si>
  <si>
    <t>Stuart MacGregor is supported by an Australian Research Council Future Fellowship.</t>
  </si>
  <si>
    <t>Thomas F. Vogt</t>
  </si>
  <si>
    <t>Thomas F.Vogt current affiliation: CHDI Management/CHDI Foundation, Princeton, New Jersey, USA</t>
  </si>
  <si>
    <t>Timothy D Spector is holder of an ERC Advanced Principal Investigator award.</t>
  </si>
  <si>
    <t>Tune H. Pers</t>
  </si>
  <si>
    <t>Lundbeck Foundation and Benzon Foundation for support</t>
  </si>
  <si>
    <t>Valerie Turcot is supported by a postdoctoral fellowship from the Canadian Institutes of Health Research (CIHR)</t>
  </si>
  <si>
    <t>Valérie Turcot</t>
  </si>
  <si>
    <t>VT is funded by a Canadian Institutes of Health Research (CIHR) postdoctoral fellowship.</t>
  </si>
  <si>
    <t>Warren, Munroe and Caullfield</t>
  </si>
  <si>
    <t>This work forms part of the research themes contributing to the translational research portfolio for the NIHR Barts Cardiovascular Biomedical Research Unit. Caulfield is a NIHR Senior Investigator.</t>
  </si>
  <si>
    <t>Zoltan Kutalik</t>
  </si>
  <si>
    <t>Leenaards Foundation(http://www.leenaards.ch/), Swiss National Science Foundation (31003A-143914) and SystemsX.ch (51RTP0_151019).</t>
  </si>
  <si>
    <t xml:space="preserve">a Trait outcomes units as follows: Height and BMI from inverse normalized units, T2D as cases versus controls, glycemic traits (HbA1c, fasting glucsose, fasting insulin, 2-hour glucose) from inverse normalized units, age at menarche and age at menopause in years, lipid traits (HDL,LDL, total cholesterol, triglycerides) from inverse normalized units, SBP and DBP in mm/Hg.  </t>
  </si>
  <si>
    <t>f P-value for sex heterogeneity, testing for difference between women-specific and men-specific beta estimates and standard errors, was calculated using EasyStrata: Winkler, T.W. et al. EasyStrata: evaluation and visualization of stratified genome-wide association meta-analysis data. Bioinformatics 2015: 31, 259-61.PMID: 25260699. Bolded P-values met significance threshold after bonferonni correction (P-value&lt;7.14E-04; i.e. 0.05/70 variants).</t>
  </si>
  <si>
    <r>
      <t>P-value</t>
    </r>
    <r>
      <rPr>
        <b/>
        <vertAlign val="superscript"/>
        <sz val="11"/>
        <color theme="1"/>
        <rFont val="Calibri"/>
        <family val="2"/>
        <scheme val="minor"/>
      </rPr>
      <t>c</t>
    </r>
  </si>
  <si>
    <t>ABDB9</t>
  </si>
  <si>
    <t xml:space="preserve">IFI30 </t>
  </si>
  <si>
    <t xml:space="preserve"> PLXND1</t>
  </si>
  <si>
    <r>
      <t>Gene</t>
    </r>
    <r>
      <rPr>
        <b/>
        <vertAlign val="superscript"/>
        <sz val="11"/>
        <color theme="1"/>
        <rFont val="Calibri"/>
        <family val="2"/>
        <scheme val="minor"/>
      </rPr>
      <t>d</t>
    </r>
  </si>
  <si>
    <r>
      <t>Lead Tag SNP (LTS) unconditioned by locus</t>
    </r>
    <r>
      <rPr>
        <vertAlign val="superscript"/>
        <sz val="11"/>
        <rFont val="Calibri"/>
        <family val="2"/>
        <scheme val="minor"/>
      </rPr>
      <t>d</t>
    </r>
  </si>
  <si>
    <r>
      <t>rs73202271</t>
    </r>
    <r>
      <rPr>
        <vertAlign val="superscript"/>
        <sz val="11"/>
        <rFont val="Calibri"/>
        <family val="2"/>
        <scheme val="minor"/>
      </rPr>
      <t>g</t>
    </r>
  </si>
  <si>
    <r>
      <t>10</t>
    </r>
    <r>
      <rPr>
        <vertAlign val="superscript"/>
        <sz val="11"/>
        <rFont val="Calibri"/>
        <family val="2"/>
        <scheme val="minor"/>
      </rPr>
      <t>h</t>
    </r>
  </si>
  <si>
    <r>
      <t>16</t>
    </r>
    <r>
      <rPr>
        <vertAlign val="superscript"/>
        <sz val="11"/>
        <rFont val="Calibri"/>
        <family val="2"/>
        <scheme val="minor"/>
      </rPr>
      <t>f</t>
    </r>
  </si>
  <si>
    <r>
      <t>Locus (+/- 1 Mb of a given variant)</t>
    </r>
    <r>
      <rPr>
        <b/>
        <vertAlign val="superscript"/>
        <sz val="11"/>
        <rFont val="Calibri"/>
        <family val="2"/>
        <scheme val="minor"/>
      </rPr>
      <t>b</t>
    </r>
  </si>
  <si>
    <r>
      <t>Locus (+/- 1 Mb of a given variant)</t>
    </r>
    <r>
      <rPr>
        <b/>
        <vertAlign val="superscript"/>
        <sz val="11"/>
        <rFont val="Calibri"/>
        <family val="2"/>
        <scheme val="minor"/>
      </rPr>
      <t>c</t>
    </r>
  </si>
  <si>
    <t>Locus (+/-1Mb of a given variant)</t>
  </si>
  <si>
    <t>d The variant lies within +/-1Mb of a published variant. Previously published variants within 1MB are from Shungin et al. (PMID 25673412), except for rs6976930 and rs10786152 from Graff et al. (PMID 28448500) and rs6499129 from Ng. et al (PMID 28430825):</t>
  </si>
  <si>
    <r>
      <t xml:space="preserve">g Only 1 variant in </t>
    </r>
    <r>
      <rPr>
        <i/>
        <sz val="11"/>
        <rFont val="Calibri"/>
        <family val="2"/>
        <scheme val="minor"/>
      </rPr>
      <t xml:space="preserve">RREB1 </t>
    </r>
    <r>
      <rPr>
        <sz val="11"/>
        <rFont val="Calibri"/>
        <family val="2"/>
        <scheme val="minor"/>
      </rPr>
      <t>can be deteremined as independent (13 are not independent and for the rest the results is inconclusive)</t>
    </r>
  </si>
  <si>
    <t>d The variant lies within +/-1Mb of a published variant. Previously published variants are from Shungin et al. (PMID 25673412), except for rs6976930 and rs10786152 from Graff et al. (PMID 28448500) and rs6499129 from Ng. et al (PMID 28430825):</t>
  </si>
  <si>
    <t>f Previously published variants within +/-1Mb are from  Shungin D et al. New genetic loci link adipose and insulin biology to body fat distribution. Nature 2015; 518, 187–196 doi:10.1038/nature14132 (PMID 25673412).</t>
  </si>
  <si>
    <t>d Previously published variants within +/-1Mb are from Shungin et al. (PMID 25673412), except for rs6976930 and rs10786152 from Graff et al. (PMID 28448500) and rs6499129 from Ng. et al (PMID 28430825):</t>
  </si>
  <si>
    <t>rs3862030, rs7917772, rs6163</t>
  </si>
  <si>
    <t>b Bonferonni corrected Pvalue for the number of SNPs tested for sex-heterogeneity is &lt;7.14E-04 i.e. 0.05/70 variants.</t>
  </si>
  <si>
    <t>f Bolded P-values are variants that met bonferonni significance by trait (P-value&lt; 9.8E-04; i.e. 0.05/51 variants).</t>
  </si>
  <si>
    <t>d Effect allele is oriented on the WHRadjBMI increasing allele see Supplementary Tables 4,5,6.</t>
  </si>
  <si>
    <t>e Effect size is per effect allele based on units indicated in footnote a</t>
  </si>
  <si>
    <r>
      <t>Effect size</t>
    </r>
    <r>
      <rPr>
        <b/>
        <vertAlign val="superscript"/>
        <sz val="11"/>
        <color theme="1"/>
        <rFont val="Calibri"/>
        <family val="2"/>
        <scheme val="minor"/>
      </rPr>
      <t>e</t>
    </r>
  </si>
  <si>
    <r>
      <t>Effect (WHR Increasing) Allele</t>
    </r>
    <r>
      <rPr>
        <b/>
        <vertAlign val="superscript"/>
        <sz val="11"/>
        <color theme="1"/>
        <rFont val="Calibri"/>
        <family val="2"/>
        <scheme val="minor"/>
      </rPr>
      <t>d</t>
    </r>
  </si>
  <si>
    <r>
      <t>P-value</t>
    </r>
    <r>
      <rPr>
        <b/>
        <vertAlign val="superscript"/>
        <sz val="11"/>
        <color theme="1"/>
        <rFont val="Calibri"/>
        <family val="2"/>
        <scheme val="minor"/>
      </rPr>
      <t>f</t>
    </r>
  </si>
  <si>
    <t>e Bolded P-values are variants that met bonferonni significance (P-value&lt; 1.0E-03; i.e. 0.05/48 variants).</t>
  </si>
  <si>
    <t>Men and Women (N=118,160)</t>
  </si>
  <si>
    <t>Women only (N=62,318)</t>
  </si>
  <si>
    <t>Men only (N=55,842)</t>
  </si>
  <si>
    <t>Men and Women (N=118,153)</t>
  </si>
  <si>
    <t>Women only (N=62,356)</t>
  </si>
  <si>
    <t>Men only (N=55,797)</t>
  </si>
  <si>
    <r>
      <t xml:space="preserve">g </t>
    </r>
    <r>
      <rPr>
        <b/>
        <sz val="11"/>
        <color theme="1"/>
        <rFont val="Calibri"/>
        <family val="2"/>
        <scheme val="minor"/>
      </rPr>
      <t xml:space="preserve">rs1334576 in </t>
    </r>
    <r>
      <rPr>
        <b/>
        <i/>
        <sz val="11"/>
        <color theme="1"/>
        <rFont val="Calibri"/>
        <family val="2"/>
        <scheme val="minor"/>
      </rPr>
      <t>RREB1</t>
    </r>
    <r>
      <rPr>
        <sz val="11"/>
        <color theme="1"/>
        <rFont val="Calibri"/>
        <family val="2"/>
        <scheme val="minor"/>
      </rPr>
      <t xml:space="preserve"> is a new signal in a known locus that is independent from the known signal, rs1294410; </t>
    </r>
    <r>
      <rPr>
        <b/>
        <sz val="11"/>
        <color theme="1"/>
        <rFont val="Calibri"/>
        <family val="2"/>
        <scheme val="minor"/>
      </rPr>
      <t xml:space="preserve">rs139745911 in </t>
    </r>
    <r>
      <rPr>
        <b/>
        <i/>
        <sz val="11"/>
        <color theme="1"/>
        <rFont val="Calibri"/>
        <family val="2"/>
        <scheme val="minor"/>
      </rPr>
      <t>KIAA0408</t>
    </r>
    <r>
      <rPr>
        <sz val="11"/>
        <color theme="1"/>
        <rFont val="Calibri"/>
        <family val="2"/>
        <scheme val="minor"/>
      </rPr>
      <t xml:space="preserve"> is a new signal in a known locus that is independent from all known signals rs11961815, rs72959041, rs1936805, in a known locus (see Supplementary 8A/B).</t>
    </r>
  </si>
  <si>
    <r>
      <t>rs1334576</t>
    </r>
    <r>
      <rPr>
        <b/>
        <vertAlign val="superscript"/>
        <sz val="11"/>
        <color theme="1"/>
        <rFont val="Calibri"/>
        <family val="2"/>
        <scheme val="minor"/>
      </rPr>
      <t>g</t>
    </r>
  </si>
  <si>
    <r>
      <t>rs139745911</t>
    </r>
    <r>
      <rPr>
        <b/>
        <vertAlign val="superscript"/>
        <sz val="11"/>
        <color theme="1"/>
        <rFont val="Calibri"/>
        <family val="2"/>
        <scheme val="minor"/>
      </rPr>
      <t>g</t>
    </r>
  </si>
  <si>
    <t>CHES</t>
  </si>
  <si>
    <t>The Chinese American Eye Disease Study</t>
  </si>
  <si>
    <t xml:space="preserve">This study was analyzed as part of TUDR. This work was supported by grant EY-017337 from the National Eye Institute, National Institutes of Health, Bethesda, Maryland, and an unrestricted Departmental grant from Research to Prevent Blindness, New York, NY 10022. </t>
  </si>
  <si>
    <t xml:space="preserve">This study was supported by the National Health and Medical Research Council of Australia [grant numbers 403981, 1021105 and 572613] and the Canadian Institutes of Health Research [grant number MOP-82893]. The authors are grateful to the Raine Study participants and their families, and to the Raine Study Team for cohort co-ordination and data collection. The authors gratefully acknowledge the following institutes for providing funding for Core Management of the Raine Study: The University of Western Australia (UWA) , Curtin University of Technology, the Raine Medical Research Foundation, the Telethon Kids Institute, the Women and Infants Research Foundation (King Edward Memorial Hospital) Edith Cowan University, Murdoch University, and The University of Notre Dame Australia. The authors gratefully acknowledge the assistance of the Western Australian DNA Bank (National Health And Medical Reserach Council of Australia National Enabling Facility). 
This work was supported by resources provided by the Pawsey Supercomputing Centre with funding from the Australian Government and Government of Western Australia.
</t>
  </si>
  <si>
    <t>Funding:The Airwave Study is funded by the Home Office (grant number 780-TETRA) with additional support from the National Institute for Health Research (NIHR) Imperial College Healthcare NHS Trust (ICHNT) and Imperial College Biomedical Research Centre (BRC). PE is a UK Dementia Research Institute (DRI) Professor, UK DRI at Imperial College London. The UK DRI is funded by the Medical Research Council, Alzheimer's Society and Alzheimer's Research UK. This work used  computing resources of the UK MEDical BIOinformatics partnership - aggregation, integration, visualisation and analysis of large, complex data (UK MED-BIO) which is supported by the Medical Research Council [grant number MR/L01632X/1]. Acknowledgements: We thank all participants in the Airwave Health Monitoring Study. We also thank Louisa Cavaliero who assisted in data collection and management as well as Peter McFarlane and the Glasgow CARE, Patricia Munroe at Queen Mary University of London, Joanna Sarnecka and Ania Zawodniak at Northwick Park for their contributions to the study.</t>
  </si>
  <si>
    <t xml:space="preserve">This research was supported by the Multi-Ethnic Study of Atherosclerosis (MESA) contracts N01-HC-95159, N01-HC-95160, N01-HC-95161, N01-HC-95162, N01-HC-95163, N01-HC-95164, N01-HC-95165, N01-HC-95166, N01-HC-95167, N01-HC-95168, N01-HC-95169 and by grants UL1-TR-000040 and UL1-RR-025005 from NCRR .  Funding for MESA Family was provided by grants R01-HL-071205, R01-HL-071051, R01-HL-071250, R01-HL-071251, R01-HL-071252, R01-HL-071258, R01-HL-071259,  and UL1-RR-025005.  Funding for MESA SHARe genotyping was provided by NHLBI Contract N02-HL-6-4278. The provision of genotyping data was supported in part by the National Center for Advancing Translational Sciences, CTSI grant UL1TR001881, and the National Institute of Diabetes and Digestive and Kidney Disease Diabetes Research Center (DRC) grant DK063491 to the Southern California Diabetes Endocrinology Research Center. </t>
  </si>
  <si>
    <t>Support for GENOA was provided by the National Heart, Lung and Blood Institute (HL119443, HL054464, HL054457, HL054481, HL087660, and HL086694) of the National Institutes of Health. Genotyping was performed at the Mayo Clinic (Stephan T. Turner, MD, Mariza de Andrade PhD, Julie Cunningham, PhD). Genotyping for GENOA whites was performed by Eric Boerwinkle, PhD and Megan L. Grove from the Human Genetics Center and Institute of Molecular Medicine and Division of Epidemiology, University of Texas Health Science Center, Houston, Texas, USA. Genotyping for GENOA African Americans was performed at the Center for Inherited Disease Research (CIDR) at Johns Hopkins University. We would also like to thank the families that participated in the GENOA study. </t>
  </si>
  <si>
    <t>We thank all participating patients of the DIACORE study. The DIACORE study is funded by the KfH Stiftung Präventivmedizin e.V. . Genotyping was funded by the Else Kröner-Frsenius-Stiftung to CAB (2012_A147) and the University Hospital Regensburg. CAB has received funding from the KfH Stiftung Präventivmedizin e.V., the Else Kröner-Fresenius-Stiftung and the Dr Robert Pfleger Stiftung.  We thank the physicians and health insurance companies supporting the DIACORE study: Axel Andreae, Gerhard Haas, Sabine Haas, Jochen Manz, Johann Nusser, Günther Kreisel, Gerhard Bawidamann, Frederik Mader, Susanne Kißkalt, Johann Hartl, Thomas Segiet, Christiane Gleixner, Christian Scholz, Monika Schober (Chief of Supply Management, Allgemeine Ortskrankenkasse Bayern), Cornelia Heinrich (Communication Manager, Allgemeine Ortskrankenkasse Bayern), Thomas Bohnhoff (Disease Management, Techniker Krankenkasse), Thomas Heilmann (Head of Disease Management, Techniker Krankenkasse), Stefan Stern (Consulting Physician, Allgemeine Ortskrankenkasse Bayern), Andreas Utz (Head of Department, Allgemeine Ortskrankenkasse Bayern), Georg Zellner (Chief of Supply Management, Deutsche Angestellten Krankenkasse), Werner Ettl (Barmer-GEK), Thomas Buck (Barmer-GEK), Rainer Bleek (IKK classic), Ulrich Blaudzun (IKK classic). We further thank the study nurses for their expert work in performing the study visits: Simone Neumeier, Sarah Hufnagel, Petra Jackermeier, Sabrina Obermüller, Christiane Ried, Ulrike Hanauer, Bärbel Sendtner, Natalia Riewe-Kerow. The Genetic Epidemiology at the University of Regensburg received financial contributions from the BMBF (01ER1507).</t>
  </si>
  <si>
    <t>The LOLIPOP study is supported by the National Institute for Health Research (NIHR) Comprehensive Biomedical Research Centre Imperial College Healthcare NHS Trust, the British Heart Foundation (SP/04/002), the Medical Research Council (G0601966, G0700931), the Wellcome Trust (084723/Z/08/Z, 090532 &amp; 098381) the NIHR (RP-PG-0407-10371), the NIHR Official Development Assistance (ODA, award 16/136/68), the European Union FP7 (EpiMigrant, 279143) and H2020 programs (iHealth-T2D, 643774). We acknowledge support of the MRC-PHE Centre for Environment and Health, and the NIHR Health Protection Research Unit on Health Impact of Environmental Hazards. The work was carried out in part at the NIHR/Wellcome Trust Imperial Clinical Research Facility. The views expressed are those of the author(s) and not necessarily those of the Imperial College Healthcare NHS Trust, the NHS, the NIHR or the Department of Health. We thank the participants and research staff who made the study possible. JC is supported by the Singapore Ministry of Health’s National Medical Research Council under its Singapore Translational Research Investigator (STaR) Award (NMRC/STaR/0028/2017).</t>
  </si>
  <si>
    <t>Number of Variants</t>
  </si>
  <si>
    <t>1*</t>
  </si>
  <si>
    <t>* genes with only one variant were excluded from formal tests of enrichment due to inability to match other genes.</t>
  </si>
  <si>
    <t>f Bonferroni correction for 15 tests (5 SNPs x 3 gender groups) is Pvalue&lt;0.0033; significant Pvalues are bolded.</t>
  </si>
  <si>
    <t>Abbreviations: GRCh37=human genome assembly build 37;rsID=based on dbSNP; VEP=Ensembl Variant Effect Predictor toolset; GTEx=Genotype-Tissue Expression project;SD=standard deviation; SE=standard error;N=sample size;  P-values (column M) are bolded because they all met array-wide significance.</t>
  </si>
  <si>
    <t>Abbreviations: GRCh37=human genome assembly build 37;rsID=based on dbSNP; VEP=Ensembl Variant Effect Predictor toolset; GTEx=Genotype-Tissue Expression project;SD=standard deviation; SE=standard error;N=sample size. P-values in columns O and T are bolded if they met array-wide significant for the given sex.</t>
  </si>
  <si>
    <t>b Additional knockdown experiments with ≥5 replicates and using tissue-specific drivers (body fat, CG driver [cg-Gal4] and neuronal, ELAV driver [elav-Gal4] specific RNAi-knockdown) were conducted.</t>
  </si>
  <si>
    <t>ExomeChip Coding Variant</t>
  </si>
  <si>
    <t>ExomeChip variant unconditioned</t>
  </si>
  <si>
    <t>ExomeChip variant conditioned on GWAS variant</t>
  </si>
  <si>
    <t>GWAS variant conditioned on ExomeChip variant</t>
  </si>
  <si>
    <t>c Loci 1-20 ExomeChip variant-known GWAS loci reciprocal conditional analyses.</t>
  </si>
  <si>
    <t>ExomeChip Variant: Before Conditioning</t>
  </si>
  <si>
    <t>ExomeChip Variant: After Conditioning on GWAS Proxy Variant</t>
  </si>
  <si>
    <t>GWAS/proxy Variant: After Conditioning on ExomeChip Variant</t>
  </si>
  <si>
    <t>Result of the coding ExomeChip variant when conditioned on the GWAS varaint and vice versa</t>
  </si>
  <si>
    <r>
      <rPr>
        <b/>
        <sz val="11"/>
        <rFont val="Calibri"/>
        <family val="2"/>
        <scheme val="minor"/>
      </rPr>
      <t>a.</t>
    </r>
    <r>
      <rPr>
        <sz val="11"/>
        <rFont val="Calibri"/>
        <family val="2"/>
        <scheme val="minor"/>
      </rPr>
      <t xml:space="preserve"> Call rate to exclude individuals for whom genotyping success rate is less than a certain percentage (to exclude 'bad' samples/DNA)</t>
    </r>
  </si>
  <si>
    <t>WTCCC/ UKT2D</t>
  </si>
  <si>
    <r>
      <rPr>
        <b/>
        <sz val="11"/>
        <rFont val="Calibri"/>
        <family val="2"/>
        <scheme val="minor"/>
      </rPr>
      <t>a.</t>
    </r>
    <r>
      <rPr>
        <sz val="11"/>
        <rFont val="Calibri"/>
        <family val="2"/>
        <scheme val="minor"/>
      </rPr>
      <t xml:space="preserve"> Call rate to exclude individuals for whom genotyping success rate is less than a certain percentage (to exclude poorly genotyped samples)</t>
    </r>
  </si>
  <si>
    <r>
      <rPr>
        <b/>
        <sz val="11"/>
        <rFont val="Calibri"/>
        <family val="2"/>
      </rPr>
      <t>a.</t>
    </r>
    <r>
      <rPr>
        <sz val="11"/>
        <rFont val="Calibri"/>
        <family val="2"/>
      </rPr>
      <t xml:space="preserve"> Studies that included more than one ancestry are indicated with abbreviations next to the study name including: EA-European Ancestry; AA-African Ancestry; HA-Hispanic Ancestry; EAS-East Asian Ancestry; SAS-South Asian Ancestry.</t>
    </r>
  </si>
  <si>
    <r>
      <rPr>
        <b/>
        <sz val="11"/>
        <color theme="1"/>
        <rFont val="Calibri"/>
        <family val="2"/>
        <scheme val="minor"/>
      </rPr>
      <t>a</t>
    </r>
    <r>
      <rPr>
        <sz val="11"/>
        <color theme="1"/>
        <rFont val="Calibri"/>
        <family val="2"/>
        <scheme val="minor"/>
      </rPr>
      <t xml:space="preserve"> Coding variants refer to variants located in the exons and splicing junction regions.</t>
    </r>
  </si>
  <si>
    <r>
      <rPr>
        <b/>
        <sz val="11"/>
        <color theme="1"/>
        <rFont val="Calibri"/>
        <family val="2"/>
        <scheme val="minor"/>
      </rPr>
      <t>b</t>
    </r>
    <r>
      <rPr>
        <sz val="11"/>
        <color theme="1"/>
        <rFont val="Calibri"/>
        <family val="2"/>
        <scheme val="minor"/>
      </rPr>
      <t xml:space="preserve"> Variant positions are reported according to Human assembly build 37 and their alleles are coded based on the positive strand.  </t>
    </r>
  </si>
  <si>
    <r>
      <rPr>
        <b/>
        <sz val="11"/>
        <color theme="1"/>
        <rFont val="Calibri"/>
        <family val="2"/>
        <scheme val="minor"/>
      </rPr>
      <t>c</t>
    </r>
    <r>
      <rPr>
        <sz val="11"/>
        <color theme="1"/>
        <rFont val="Calibri"/>
        <family val="2"/>
        <scheme val="minor"/>
      </rPr>
      <t xml:space="preserve"> Effect size is based on standard deviation (SD) per effect allele</t>
    </r>
  </si>
  <si>
    <r>
      <rPr>
        <b/>
        <sz val="11"/>
        <color theme="1"/>
        <rFont val="Calibri"/>
        <family val="2"/>
        <scheme val="minor"/>
      </rPr>
      <t>d</t>
    </r>
    <r>
      <rPr>
        <sz val="11"/>
        <color theme="1"/>
        <rFont val="Calibri"/>
        <family val="2"/>
        <scheme val="minor"/>
      </rPr>
      <t xml:space="preserve"> Lead Tag SNP is the most significant SNP in the locus (defined by a +/-1Mb region)</t>
    </r>
  </si>
  <si>
    <r>
      <rPr>
        <b/>
        <sz val="11"/>
        <rFont val="Calibri"/>
        <family val="2"/>
        <scheme val="minor"/>
      </rPr>
      <t>e</t>
    </r>
    <r>
      <rPr>
        <sz val="11"/>
        <rFont val="Calibri"/>
        <family val="2"/>
        <scheme val="minor"/>
      </rPr>
      <t xml:space="preserve"> Secondary signal , Pvalue cut-off at &lt;2e-7</t>
    </r>
  </si>
  <si>
    <r>
      <rPr>
        <b/>
        <sz val="11"/>
        <rFont val="Calibri"/>
        <family val="2"/>
        <scheme val="minor"/>
      </rPr>
      <t>f</t>
    </r>
    <r>
      <rPr>
        <sz val="11"/>
        <rFont val="Calibri"/>
        <family val="2"/>
        <scheme val="minor"/>
      </rPr>
      <t xml:space="preserve"> rs11057353 conditional p=7.56e-07, beta=-0.013; rs34934281 conditional p=0.0415, beta=-0.0088</t>
    </r>
  </si>
  <si>
    <r>
      <rPr>
        <b/>
        <sz val="11"/>
        <rFont val="Calibri"/>
        <family val="2"/>
        <scheme val="minor"/>
      </rPr>
      <t>g</t>
    </r>
    <r>
      <rPr>
        <sz val="11"/>
        <rFont val="Calibri"/>
        <family val="2"/>
        <scheme val="minor"/>
      </rPr>
      <t xml:space="preserve"> rs73202271 Unconditioned results: Effect size=0.026; SE=0.006; P-value=5.96E-05</t>
    </r>
  </si>
  <si>
    <r>
      <rPr>
        <b/>
        <sz val="11"/>
        <rFont val="Calibri"/>
        <family val="2"/>
        <scheme val="minor"/>
      </rPr>
      <t>h</t>
    </r>
    <r>
      <rPr>
        <sz val="11"/>
        <rFont val="Calibri"/>
        <family val="2"/>
        <scheme val="minor"/>
      </rPr>
      <t xml:space="preserve"> rs11057353 conditional p=5.86e-07, beta=-0.018; rs34934281 conditional p=0.00077, beta=-0.019</t>
    </r>
  </si>
  <si>
    <r>
      <t xml:space="preserve">Supplementary Data 6. Associations between the WHRadjBMI that met P&lt;2x10-7 in discovery analysis and height, body mass index (BMI), type 2 diabetes (T2D), glycosylated hemoglobin (HbA1c), fasting glucose (FG), fasting insulin (FI), two-hour glucose, age at menopause, age at menarche,HDL-cholesterol (HDL), LDL-cholesterol (LDL), triglycerides, total cholesterol, coronary artery disease (CAD), systolic blood pressure (SBP), and diastolic blood pressure (DBP). The direction of the effect (BETA) is given for the WHR increasing allele. </t>
    </r>
    <r>
      <rPr>
        <b/>
        <vertAlign val="superscript"/>
        <sz val="11"/>
        <color theme="1"/>
        <rFont val="Calibri"/>
        <family val="2"/>
        <scheme val="minor"/>
      </rPr>
      <t>a</t>
    </r>
  </si>
  <si>
    <r>
      <t>Effect size</t>
    </r>
    <r>
      <rPr>
        <b/>
        <vertAlign val="superscript"/>
        <sz val="11"/>
        <color theme="1"/>
        <rFont val="Calibri"/>
        <family val="2"/>
        <scheme val="minor"/>
      </rPr>
      <t>d</t>
    </r>
    <r>
      <rPr>
        <b/>
        <sz val="11"/>
        <color theme="1"/>
        <rFont val="Calibri"/>
        <family val="2"/>
        <scheme val="minor"/>
      </rPr>
      <t xml:space="preserve"> (SD/ allele)</t>
    </r>
  </si>
  <si>
    <t xml:space="preserve">    Only significant results are shown (FDR&lt; 0.05).</t>
  </si>
  <si>
    <r>
      <t xml:space="preserve">Exomechip </t>
    </r>
    <r>
      <rPr>
        <b/>
        <vertAlign val="superscript"/>
        <sz val="11"/>
        <color theme="1"/>
        <rFont val="Calibri"/>
        <family val="2"/>
        <scheme val="minor"/>
      </rPr>
      <t>c</t>
    </r>
  </si>
  <si>
    <t>abnormal femur morphology</t>
  </si>
  <si>
    <t>COL4A2 PPI subnetwork</t>
  </si>
  <si>
    <t>abnormal joint morphology</t>
  </si>
  <si>
    <t>abnormal sternum ossification</t>
  </si>
  <si>
    <t>collagen trimer</t>
  </si>
  <si>
    <t>CD36 PPI subnetwork</t>
  </si>
  <si>
    <t>abnormal cutaneous collagen fibril morphology</t>
  </si>
  <si>
    <t>cartilage development</t>
  </si>
  <si>
    <t>collagen binding</t>
  </si>
  <si>
    <t>COL4A1 PPI subnetwork</t>
  </si>
  <si>
    <t>extracellular matrix binding</t>
  </si>
  <si>
    <t>COL6A1 PPI subnetwork</t>
  </si>
  <si>
    <t>fibrillar collagen trimer</t>
  </si>
  <si>
    <t>LTBP1 PPI subnetwork</t>
  </si>
  <si>
    <t>costamere</t>
  </si>
  <si>
    <t>abnormal heart valve morphology</t>
  </si>
  <si>
    <t>cartilage development involved in endochondral bone morphogenesis</t>
  </si>
  <si>
    <t>histone acetyltransferase activity</t>
  </si>
  <si>
    <t>hemorrhage</t>
  </si>
  <si>
    <t>abnormal compact bone morphology</t>
  </si>
  <si>
    <t>abnormal Meckel's cartilage morphology</t>
  </si>
  <si>
    <t>decreased retroperitoneal fat pad weight</t>
  </si>
  <si>
    <t>SPARC PPI subnetwork</t>
  </si>
  <si>
    <t>complete embryonic lethality during organogenesis</t>
  </si>
  <si>
    <t>abnormal scapula morphology</t>
  </si>
  <si>
    <t>abnormal basement membrane morphology</t>
  </si>
  <si>
    <t>ZMYND11 PPI subnetwork(2)</t>
  </si>
  <si>
    <t>abnormal cervical axis morphology</t>
  </si>
  <si>
    <t>embryonic skeletal joint development</t>
  </si>
  <si>
    <t>FGF2 PPI subnetwork</t>
  </si>
  <si>
    <t>abnormal tendon morphology</t>
  </si>
  <si>
    <t>abnormal posterior eye segment morphology</t>
  </si>
  <si>
    <t>abnormal vertebral arch morphology</t>
  </si>
  <si>
    <t>MED1 PPI subnetwork</t>
  </si>
  <si>
    <t>abnormal cartilage morphology</t>
  </si>
  <si>
    <t>thin diaphragm muscle</t>
  </si>
  <si>
    <t>collagen fibril organization</t>
  </si>
  <si>
    <t>abnormal sternum morphology</t>
  </si>
  <si>
    <t>abnormal cervical atlas morphology</t>
  </si>
  <si>
    <t>ostium primum atrial septal defect</t>
  </si>
  <si>
    <t>chondrocyte differentiation</t>
  </si>
  <si>
    <t>COL1A2 PPI subnetwork</t>
  </si>
  <si>
    <t>short snout</t>
  </si>
  <si>
    <t>increased urine glucose level</t>
  </si>
  <si>
    <t>shortened head</t>
  </si>
  <si>
    <t>delayed endochondral bone ossification</t>
  </si>
  <si>
    <t>small basisphenoid bone</t>
  </si>
  <si>
    <t>THBS2 PPI subnetwork</t>
  </si>
  <si>
    <t>ITGB5 PPI subnetwork</t>
  </si>
  <si>
    <t>MAG PPI subnetwork</t>
  </si>
  <si>
    <t>COL4A4 PPI subnetwork</t>
  </si>
  <si>
    <t>abnormal vertebrae development</t>
  </si>
  <si>
    <t>abnormal artery morphology</t>
  </si>
  <si>
    <t>increased fat cell size</t>
  </si>
  <si>
    <t>abnormal forelimb morphology</t>
  </si>
  <si>
    <t>decreased circulating leptin level</t>
  </si>
  <si>
    <t>decreased circulating triglyceride level</t>
  </si>
  <si>
    <t>abnormal humerus morphology</t>
  </si>
  <si>
    <t>abnormal dermal layer morphology</t>
  </si>
  <si>
    <t>perimembraneous ventricular septal defect</t>
  </si>
  <si>
    <t>abnormal patella morphology</t>
  </si>
  <si>
    <t>abnormal vestibulocochlear ganglion morphology</t>
  </si>
  <si>
    <t>heart right ventricle hypertrophy</t>
  </si>
  <si>
    <t>decreased brown adipose tissue amount</t>
  </si>
  <si>
    <t>CTBP1 PPI subnetwork</t>
  </si>
  <si>
    <t>AP1S2 PPI subnetwork</t>
  </si>
  <si>
    <t>abnormal muscle morphology</t>
  </si>
  <si>
    <t>abnormal aorta elastic tissue morphology</t>
  </si>
  <si>
    <t>abnormal cricoid cartilage morphology</t>
  </si>
  <si>
    <t>BMP1 PPI subnetwork</t>
  </si>
  <si>
    <t>decreased inguinal fat pad weight</t>
  </si>
  <si>
    <t>SERTAD3 PPI subnetwork</t>
  </si>
  <si>
    <t>abnormal brown adipose tissue morphology</t>
  </si>
  <si>
    <t>LAMA1 PPI subnetwork</t>
  </si>
  <si>
    <t>LAMB1 PPI subnetwork</t>
  </si>
  <si>
    <t>impaired lipolysis</t>
  </si>
  <si>
    <t>abnormal cervical vertebrae morphology</t>
  </si>
  <si>
    <t>abnormal xiphoid process morphology</t>
  </si>
  <si>
    <t>enlarged pancreatic islets</t>
  </si>
  <si>
    <t>intracranial hemorrhage</t>
  </si>
  <si>
    <t>centrally nucleated skeletal muscle fibers</t>
  </si>
  <si>
    <t>abnormal snout morphology</t>
  </si>
  <si>
    <t>abnormal extraembryonic tissue morphology</t>
  </si>
  <si>
    <t>cleft secondary palate</t>
  </si>
  <si>
    <t>lumbar vertebral transformation</t>
  </si>
  <si>
    <t>decreased epididymal fat pad weight</t>
  </si>
  <si>
    <t>small kidney</t>
  </si>
  <si>
    <t>NOV PPI subnetwork</t>
  </si>
  <si>
    <t>abnormal occipital bone morphology</t>
  </si>
  <si>
    <t>bone morphogenesis</t>
  </si>
  <si>
    <t>abnormal angiogenesis</t>
  </si>
  <si>
    <t>abnormal dorsal-ventral polarity of the somites</t>
  </si>
  <si>
    <t>MAML1 PPI subnetwork</t>
  </si>
  <si>
    <t>abnormal intestine morphology</t>
  </si>
  <si>
    <t>decreased circulating free fatty acid level</t>
  </si>
  <si>
    <t>impaired lung alveolus development</t>
  </si>
  <si>
    <t>abnormal glossopharyngeal nerve morphology</t>
  </si>
  <si>
    <t>INHBA PPI subnetwork</t>
  </si>
  <si>
    <t>HOXA5 PPI subnetwork</t>
  </si>
  <si>
    <t>abnormal axial skeleton morphology</t>
  </si>
  <si>
    <t>abnormal branching involved in lung morphogenesis</t>
  </si>
  <si>
    <t>abnormal tympanic ring morphology</t>
  </si>
  <si>
    <t>vasculature development</t>
  </si>
  <si>
    <t>ITM2C PPI subnetwork</t>
  </si>
  <si>
    <t>regulation of cartilage development</t>
  </si>
  <si>
    <t>SKIL PPI subnetwork</t>
  </si>
  <si>
    <t>abnormal lung morphology</t>
  </si>
  <si>
    <t>delayed embryo turning</t>
  </si>
  <si>
    <t>partial postnatal lethality</t>
  </si>
  <si>
    <t>decreased tongue size</t>
  </si>
  <si>
    <t>abnormal craniofacial bone morphology</t>
  </si>
  <si>
    <t>abnormal vascular smooth muscle morphology</t>
  </si>
  <si>
    <t>abnormal rib-sternum attachment</t>
  </si>
  <si>
    <t>RUNX1 PPI subnetwork</t>
  </si>
  <si>
    <t>histone methyltransferase activity</t>
  </si>
  <si>
    <t>increased circulating free fatty acid level</t>
  </si>
  <si>
    <t>PBX1 PPI subnetwork</t>
  </si>
  <si>
    <t>TWIST1 PPI subnetwork</t>
  </si>
  <si>
    <t>laminin binding</t>
  </si>
  <si>
    <t>PDGFRA PPI subnetwork</t>
  </si>
  <si>
    <t>FBN1 PPI subnetwork</t>
  </si>
  <si>
    <t>abnormal aorta morphology</t>
  </si>
  <si>
    <t>thoracic vertebral transformation</t>
  </si>
  <si>
    <t>lung hemorrhage</t>
  </si>
  <si>
    <t>abnormal pterygoid process morphology</t>
  </si>
  <si>
    <t>transmembrane receptor protein kinase activity</t>
  </si>
  <si>
    <t>abnormal placenta vasculature</t>
  </si>
  <si>
    <t>cryptorchism</t>
  </si>
  <si>
    <t>IGF1 PPI subnetwork</t>
  </si>
  <si>
    <t>insulin-like growth factor binding</t>
  </si>
  <si>
    <t>NR3C1 PPI subnetwork</t>
  </si>
  <si>
    <t>P4HA2 PPI subnetwork</t>
  </si>
  <si>
    <t>sacral vertebral transformation</t>
  </si>
  <si>
    <t>abnormal nasal bone morphology</t>
  </si>
  <si>
    <t>decreased rib number</t>
  </si>
  <si>
    <t>ITGA9 PPI subnetwork</t>
  </si>
  <si>
    <t>abnormal cranium morphology</t>
  </si>
  <si>
    <t>APP PPI subnetwork</t>
  </si>
  <si>
    <t>HSP90B1 PPI subnetwork</t>
  </si>
  <si>
    <t>lysine N-methyltransferase activity</t>
  </si>
  <si>
    <t>protein-lysine N-methyltransferase activity</t>
  </si>
  <si>
    <t>pale yolk sac</t>
  </si>
  <si>
    <t>abnormal squamosal bone morphology</t>
  </si>
  <si>
    <t>renal hypoplasia</t>
  </si>
  <si>
    <t>abnormal fibula morphology</t>
  </si>
  <si>
    <t>NCOA2 PPI subnetwork</t>
  </si>
  <si>
    <t>chromatin modification</t>
  </si>
  <si>
    <t>abnormal limb bud morphology</t>
  </si>
  <si>
    <t>cleft palate</t>
  </si>
  <si>
    <t>abnormal dorsal aorta morphology</t>
  </si>
  <si>
    <t>diaphragmatic hernia</t>
  </si>
  <si>
    <t>VDR PPI subnetwork</t>
  </si>
  <si>
    <t>abnormal middle ear morphology</t>
  </si>
  <si>
    <t>short maxilla</t>
  </si>
  <si>
    <t>vesicle transport along microtubule</t>
  </si>
  <si>
    <t>abnormal lung development</t>
  </si>
  <si>
    <t>SMAD7 PPI subnetwork</t>
  </si>
  <si>
    <t>abnormal adipose tissue physiology</t>
  </si>
  <si>
    <t>abnormal alisphenoid bone morphology</t>
  </si>
  <si>
    <t>decreased chondrocyte number</t>
  </si>
  <si>
    <t>SOX9 PPI subnetwork</t>
  </si>
  <si>
    <t>abnormal basisphenoid bone morphology</t>
  </si>
  <si>
    <t>abnormal thyroid cartilage morphology</t>
  </si>
  <si>
    <t>abnormal kidney morphology</t>
  </si>
  <si>
    <t>protein serine/threonine phosphatase complex</t>
  </si>
  <si>
    <t>ribonucleoprotein complex binding</t>
  </si>
  <si>
    <t>RUNX1T1 PPI subnetwork</t>
  </si>
  <si>
    <t>transcription regulatory region DNA binding</t>
  </si>
  <si>
    <t>decreased tympanic ring size</t>
  </si>
  <si>
    <t>middle ear morphogenesis</t>
  </si>
  <si>
    <t>regulatory region DNA binding</t>
  </si>
  <si>
    <t>regulatory region nucleic acid binding</t>
  </si>
  <si>
    <t>absent stapes</t>
  </si>
  <si>
    <t>SNCG PPI subnetwork</t>
  </si>
  <si>
    <t>overexpanded pulmonary alveoli</t>
  </si>
  <si>
    <t>KDM6A PPI subnetwork</t>
  </si>
  <si>
    <t>transcription factor binding</t>
  </si>
  <si>
    <t>abnormal supraoccipital bone morphology</t>
  </si>
  <si>
    <t>abnormal frequency of paradoxical sleep</t>
  </si>
  <si>
    <t>SP1 PPI subnetwork</t>
  </si>
  <si>
    <t>ZFP36 PPI subnetwork</t>
  </si>
  <si>
    <t>NR2C1 PPI subnetwork</t>
  </si>
  <si>
    <t>VLDLR PPI subnetwork</t>
  </si>
  <si>
    <t>JUN PPI subnetwork</t>
  </si>
  <si>
    <t>PHC2 PPI subnetwork</t>
  </si>
  <si>
    <t>ANKRD12 PPI subnetwork</t>
  </si>
  <si>
    <t>H.Y. and T.M.F. are supported by the European Research Council grant: 323195; SZ-245 50371-GLUCOSEGENES-FP7-IDEAS-ERC. HY is funded by Diabetes UK RD Lawrence fellowship (grant: 17/0005594)</t>
  </si>
  <si>
    <t>NHLBI training grant T32 HL007055</t>
  </si>
  <si>
    <t>Hidetoshi Kitajima</t>
  </si>
  <si>
    <t>Hidetoshi Kitajima was funded by Manpei Suzuki Diabetes Foundation Grant-in-Aid for the young scientists working abroad.</t>
  </si>
  <si>
    <t>James G. Wilson</t>
  </si>
  <si>
    <t>Dr. Wilson is supported by U54GM115428 from the National Institute of General Medical Sciences.</t>
  </si>
  <si>
    <t>Cardiovascular Health Study (CHS) was supported by NHLBI contracts HL085251, HHSN268201200036C, HHSN268200800007C, N01HC55222, N01HC85079, N01HC85080, N01HC85081, N01HC85082, N01HC85083, N01HC85086; and NHLBI grants HL080295, HL087652, HL105756, HL103612, and HL120393 with additional contribution from the National Institute of Neurological Disorders and Stroke (NINDS). Additional support was provided through AG023629 from the National Institute on Aging (NIA). A full list of principal CHS investigators and institutions can be found at CHS-NHLBI.org/. The provision of genotyping data was supported in part by the National Center for Advancing Translational Sciences, CTSI grant UL1TR001881, and the National Institute of Diabetes and Digestive and Kidney Disease Diabetes Research Center (DRC) grant DK063491 to the Southern California Diabetes Endocrinology Research Center.</t>
  </si>
  <si>
    <t>Jin Li</t>
  </si>
  <si>
    <t>Jing Hua Zhao</t>
  </si>
  <si>
    <t>81700700 National Natural Science Foundation of China</t>
  </si>
  <si>
    <t>BMBF 01KU1501A; NIH and the Max Planck Society</t>
  </si>
  <si>
    <t>NIH grant U01DK105561</t>
  </si>
  <si>
    <t>This research was conducted in part using data and resources from the National Heart, Lung and Blood Institute's Farmingham Heart Study (Contract Nos. N01-HC-25195 and HHSN268201500001I) and Boston University School of Medicine. The analyses reflect intellectual input and resource development from the Framingham Heart Study investigators participating in the SNP Health Association Resource (SHARe) project. This work was partially supported by the National Heart, Lung and Blood Institute's Framingham Heart Study (Contract No. HHSN268201500001I) and its contract with Affymetrix, Inc for genotyping services (Contract No. N02-HL-6-4278). This research was partially supported by grant NIDDK 1R01DK8925601. A portion of this research utilized the Linux Cluster for Genetic Analysis (LinGA-II) funded by the Robert Dawson Evans Endowment of the Department of Medicine at Boston University School of Medicine and Boston Medical Center.</t>
  </si>
  <si>
    <t>Mariaelisa Graff</t>
  </si>
  <si>
    <t>01-ER1507 and 01-ER1206 IH</t>
  </si>
  <si>
    <t>Mathias Gorski</t>
  </si>
  <si>
    <t xml:space="preserve">This work was supported by the Wellcome (076113, 083948, 085475, 098381, 090367, 090532, 106130, 203141) , European Commission (ENGAGE: HEALTH-F4-2007-201413), MRC (G0601261) and NIDDK (U01-DK105535). </t>
  </si>
  <si>
    <t>The Atherosclerosis Risk in Communities study has been funded in whole or in part with Federal funds from the National Heart, Lung, and Blood Institute, National Institutes of Health, Department of Health and Human Services (contract numbers HHSN268201700001I, HHSN268201700002I, HHSN268201700003I, HHSN268201700004I and HHSN268201700005I). The authors thank the staff and participants of the ARIC study for their important contributions. Funding support for “Building on GWAS for NHLBI-diseases: the U.S. CHARGE consortium” was provided by the NIH through the American Recovery and Reinvestment Act of 2009 (ARRA) (5RC2HL102419).</t>
  </si>
  <si>
    <t>Adelheid Lempradl</t>
  </si>
  <si>
    <t>Micheal Boehnke</t>
  </si>
  <si>
    <t>NIH grant DK062370</t>
  </si>
  <si>
    <t>Deloukas work forms part of the research themes contributing to the translational research portfolio of National Institute for Health Research Barts Biomedical Research Centre which is supported and funded by the National Institute for Health Research. Analysis was supported by BHF grant (Deloukas) RG/14/5/30893</t>
  </si>
  <si>
    <t>Paul W. Franks</t>
  </si>
  <si>
    <t>PWF was support by the European Commission (CoG-2015_681742_NASCENT), Swedish Research Council (Distinguished Young Researchers Award in Medicine), Swedish Heart-Lung Foundation, the Novo Nordisk Foundation, European Foundation for the Study of Diabetes, and the Swedish Foundation for Strategic Research (Industrial Research Center in Precision Medicine).</t>
  </si>
  <si>
    <t>The National Science Council, Taiwan (NSC 102-2314-B-075A-002 to W.J.L.) and the Taichung Veterans General Hospital, Taichung, Taiwan (TCVGH-1047319D; TCVGH-1047311C;TCVGH-1057321D; TCVGH-1057316C to W.J.L.).</t>
  </si>
  <si>
    <t>Ruifang Li-Gao</t>
  </si>
  <si>
    <t>KORA F4</t>
  </si>
  <si>
    <t>Weihua Zhang</t>
  </si>
  <si>
    <t>2017YFC0909700 Major Project of the Ministry of Science and Technology of China</t>
  </si>
  <si>
    <t>This study was supported by the National Eye Institute of the National Institutes of Health (EY014684 to J.I.R. and Y.-D.I.C.) and ARRA Supplement (EY014684-03S1, -04S1), the National Institute of Diabetes and Digestive and Kidney Disease grant DK063491 to the Southern California Diabetes Endocrinology Research Center, the Eye Birth Defects Foundation Inc., The National Science Council, Taiwan (NSC 102-2314-B-075A-002 to W.J.L.) and the Taichung Veterans General Hospital, Taichung, Taiwan (TCVGH-1047319D; TCVGH-1047311C; TCVGH-1057321D; TCVGH-1057316C to W.J.L.).</t>
  </si>
  <si>
    <t>Xu Lin</t>
  </si>
  <si>
    <t>Yao Hu</t>
  </si>
  <si>
    <t>Yi-Jen Hung</t>
  </si>
  <si>
    <t>2017YFC0909700 Major Project of the Ministry of Science and Technology of China
and 81700700 National Natural Science Foundation of China</t>
  </si>
  <si>
    <t>Kristin Young</t>
  </si>
  <si>
    <t>KL2TR001109</t>
  </si>
  <si>
    <t>Timothy D. Spector</t>
  </si>
  <si>
    <t>American Heart Association (13POST16500011); NIH (R01-DK089256, 1R01DK101855-01, 1K99HL130580)</t>
  </si>
  <si>
    <r>
      <t>a Equation used: Corrected WHRadjBMI Standard error =SQRT(WHRadjBMI Standard Error</t>
    </r>
    <r>
      <rPr>
        <vertAlign val="superscript"/>
        <sz val="11"/>
        <color theme="1"/>
        <rFont val="Calibri"/>
        <family val="2"/>
        <scheme val="minor"/>
      </rPr>
      <t>2</t>
    </r>
    <r>
      <rPr>
        <sz val="11"/>
        <color theme="1"/>
        <rFont val="Calibri"/>
        <family val="2"/>
        <scheme val="minor"/>
      </rPr>
      <t xml:space="preserve"> + BMI Standard Error</t>
    </r>
    <r>
      <rPr>
        <vertAlign val="superscript"/>
        <sz val="11"/>
        <color theme="1"/>
        <rFont val="Calibri"/>
        <family val="2"/>
        <scheme val="minor"/>
      </rPr>
      <t>2</t>
    </r>
    <r>
      <rPr>
        <sz val="11"/>
        <color theme="1"/>
        <rFont val="Calibri"/>
        <family val="2"/>
        <scheme val="minor"/>
      </rPr>
      <t xml:space="preserve"> *0.492), where 0.49 is the correlation between BMI and WHR.</t>
    </r>
  </si>
  <si>
    <t xml:space="preserve">b Analyses performed in the ExomeChip discovery dataset if the GWAS variant or a proxy (at r2≥0.8) was available on the ExomeChip.  All the analyses were performed in the UK Biobank dataset (see Supplementary Tables 8(A)).  </t>
  </si>
  <si>
    <t>a For loci with additional GWAS variants, the GWAS variant - eQTL gene associations (FDR &lt; 1%) are also shown. FDR &lt;1% is calculated with an equivalent p-value (P &lt;2.37e-4).</t>
  </si>
  <si>
    <t>d The most significantly associated variants (excluding INDEL and multiple allelic variants) for each eQTL gene or eGene (genes whose expression levels are associated with variation at a particular genetic variant).</t>
  </si>
  <si>
    <r>
      <t>Table 1: Association results based on an additive or recessive model for coding variants</t>
    </r>
    <r>
      <rPr>
        <b/>
        <vertAlign val="superscript"/>
        <sz val="11"/>
        <rFont val="Calibri"/>
        <family val="2"/>
        <scheme val="minor"/>
      </rPr>
      <t>a</t>
    </r>
    <r>
      <rPr>
        <b/>
        <sz val="11"/>
        <rFont val="Calibri"/>
        <family val="2"/>
        <scheme val="minor"/>
      </rPr>
      <t xml:space="preserve"> that met array-wide significance (P-value&lt;2E-07) in the sex-combined meta-analyses. </t>
    </r>
  </si>
  <si>
    <r>
      <t>Table 2: Association results based on an additive or recessive model for coding variants</t>
    </r>
    <r>
      <rPr>
        <b/>
        <vertAlign val="superscript"/>
        <sz val="11"/>
        <rFont val="Calibri"/>
        <family val="2"/>
        <scheme val="minor"/>
      </rPr>
      <t>a</t>
    </r>
    <r>
      <rPr>
        <b/>
        <sz val="11"/>
        <rFont val="Calibri"/>
        <family val="2"/>
        <scheme val="minor"/>
      </rPr>
      <t xml:space="preserve"> that met array-wide significance (P-value&lt;2E-07) in the sex-specific meta-analyses and reach bonferonni corrected pvalue for sex hetergeneity (P-value&lt;7.14E-04)</t>
    </r>
    <r>
      <rPr>
        <b/>
        <vertAlign val="superscript"/>
        <sz val="11"/>
        <rFont val="Calibri"/>
        <family val="2"/>
        <scheme val="minor"/>
      </rPr>
      <t>b</t>
    </r>
    <r>
      <rPr>
        <b/>
        <sz val="11"/>
        <rFont val="Calibri"/>
        <family val="2"/>
        <scheme val="minor"/>
      </rPr>
      <t xml:space="preserve">. </t>
    </r>
  </si>
  <si>
    <t>Supplementary Data 1.  Study design, number of individuals and sample quality control for ExomeChip study cohorts.</t>
  </si>
  <si>
    <t>Supplementary Data 2.  Information on genotyping methods, quality control of SNPs, imputation, and statistical analysis for ExomeChip study cohorts.</t>
  </si>
  <si>
    <t>Supplementary Data 3. Study-specific descriptive statistics for anthropometric measurements in men and women of the ExomeChip cohorts.</t>
  </si>
  <si>
    <t>Sample size</t>
  </si>
  <si>
    <t>b All the conditional analyses were performed in the UK Biobank dataset as all GWAS variants were available. Analyses performed in the ExomeChip discovery dataset if the GWAS variant or a proxy (at r2≥0.8) was available on the ExomeChip (see ST1).</t>
  </si>
  <si>
    <t>Additive model Sex-combined analyses; N=119,572</t>
  </si>
  <si>
    <t>Additive model Women only analyses; ; N=62926</t>
  </si>
  <si>
    <t>Additive model Men only analyses; N=56646</t>
  </si>
  <si>
    <r>
      <t>Supplementary Data 7. Conditional analysis and reciprocal conditional analysis in the UK-Biobank data of coding variants</t>
    </r>
    <r>
      <rPr>
        <b/>
        <vertAlign val="superscript"/>
        <sz val="12"/>
        <rFont val="Calibri"/>
        <family val="2"/>
      </rPr>
      <t>a</t>
    </r>
    <r>
      <rPr>
        <b/>
        <sz val="12"/>
        <rFont val="Calibri"/>
        <family val="2"/>
      </rPr>
      <t xml:space="preserve"> that reach array-wide significance (P-value&lt;2e-7) in the sex-combined results with all known variants within a locus (1Mb region) identified from Genome-wide association studies (GWAS) for WHR adjusted for BMI.</t>
    </r>
    <r>
      <rPr>
        <b/>
        <vertAlign val="superscript"/>
        <sz val="12"/>
        <rFont val="Calibri"/>
        <family val="2"/>
      </rPr>
      <t>b</t>
    </r>
  </si>
  <si>
    <t>c The full list of conditional analyses performed in the UK Biobank are in Supplementary Data 7. Only the UK Biobank analysis results related and rinformative with regards to the loci analyzed in the ExomeChip discovery dataset are presented in this table. 7</t>
  </si>
  <si>
    <t>All Ancestry Women only analyses</t>
  </si>
  <si>
    <t>All Ancestry Men only analyses</t>
  </si>
  <si>
    <t>All Ancestry Combined sexes analyses</t>
  </si>
  <si>
    <t xml:space="preserve">Supplementary Data 8. ExomeChip Data-driven Expression-Prioritized Integration for Complex Traits (EC-DEPICT) results when including all variants associated WHRadjBMI with P-value&lt;5e-4 in the GIANT ExomeChip analyses. </t>
  </si>
  <si>
    <r>
      <t>Supplementary Data 9. ExomeChip Data-driven Expression-Prioritized Integration for Complex Traits (EC-DEPICT) results when including all variants associated with WHRadjBMI with P-value&lt;5e-4 in the GIANT ExomeChip analyses that are independent of known GWAS loci (</t>
    </r>
    <r>
      <rPr>
        <b/>
        <i/>
        <sz val="11"/>
        <color theme="1"/>
        <rFont val="Calibri"/>
        <family val="2"/>
        <scheme val="minor"/>
      </rPr>
      <t>P</t>
    </r>
    <r>
      <rPr>
        <b/>
        <sz val="11"/>
        <color theme="1"/>
        <rFont val="Calibri"/>
        <family val="2"/>
        <scheme val="minor"/>
      </rPr>
      <t xml:space="preserve">&lt;5e-4) from Shungin </t>
    </r>
    <r>
      <rPr>
        <b/>
        <i/>
        <sz val="11"/>
        <color theme="1"/>
        <rFont val="Calibri"/>
        <family val="2"/>
        <scheme val="minor"/>
      </rPr>
      <t xml:space="preserve">et al. </t>
    </r>
    <r>
      <rPr>
        <b/>
        <sz val="11"/>
        <color theme="1"/>
        <rFont val="Calibri"/>
        <family val="2"/>
        <scheme val="minor"/>
      </rPr>
      <t>(2015).</t>
    </r>
  </si>
  <si>
    <r>
      <t xml:space="preserve">Supplementary Data 10. Results from PASCAL (Pathway scoring algorithm) for Exomechip coding variants and genome-wide coding and regulatory variants associated with WHRadjBMI. </t>
    </r>
    <r>
      <rPr>
        <b/>
        <vertAlign val="superscript"/>
        <sz val="11"/>
        <color theme="1"/>
        <rFont val="Calibri"/>
        <family val="2"/>
        <scheme val="minor"/>
      </rPr>
      <t>a</t>
    </r>
    <r>
      <rPr>
        <b/>
        <sz val="11"/>
        <color theme="1"/>
        <rFont val="Calibri"/>
        <family val="2"/>
        <scheme val="minor"/>
      </rPr>
      <t xml:space="preserve"> </t>
    </r>
  </si>
  <si>
    <t>ST17</t>
  </si>
  <si>
    <t>ST16</t>
  </si>
  <si>
    <t>ST15</t>
  </si>
  <si>
    <t>ST14</t>
  </si>
  <si>
    <t>ST13</t>
  </si>
  <si>
    <t>ST12</t>
  </si>
  <si>
    <t>ST11</t>
  </si>
  <si>
    <t>ST10</t>
  </si>
  <si>
    <t>SD10</t>
  </si>
  <si>
    <t>ST9</t>
  </si>
  <si>
    <t>ST4</t>
  </si>
  <si>
    <t>ST8</t>
  </si>
  <si>
    <t>ST3</t>
  </si>
  <si>
    <t>ST7</t>
  </si>
  <si>
    <t>ST2</t>
  </si>
  <si>
    <t>ST6</t>
  </si>
  <si>
    <t>SD7</t>
  </si>
  <si>
    <t>ST5</t>
  </si>
  <si>
    <t>ST1</t>
  </si>
  <si>
    <t>SD3</t>
  </si>
  <si>
    <t>SD2</t>
  </si>
  <si>
    <t>SD1</t>
  </si>
  <si>
    <t>SD11</t>
  </si>
  <si>
    <t>SD9</t>
  </si>
  <si>
    <t>SD8</t>
  </si>
  <si>
    <t>SD6</t>
  </si>
  <si>
    <t>SD5</t>
  </si>
  <si>
    <t>SD4</t>
  </si>
  <si>
    <t>new number</t>
  </si>
  <si>
    <t>old number</t>
  </si>
  <si>
    <t>Supplementary Table 5. Association results in the UK BioBank for body fat percent in men and women combined, women only, and men only for variants of interest that were array wide significant (P-value &lt;2e-7) for WHRadjBMI.</t>
  </si>
  <si>
    <t>Supplementary Table 6. Association results in the UK BioBank for body trunk fat percent in men and women combined, women only, and men only for variants of interest that were array wide significant (P-value &lt;2e-7) for WHRadjBMI.</t>
  </si>
  <si>
    <r>
      <t xml:space="preserve">Supplementary Table 8. Penetrance analysis for rare coding variants in the genes </t>
    </r>
    <r>
      <rPr>
        <b/>
        <i/>
        <sz val="11"/>
        <color theme="1"/>
        <rFont val="Calibri"/>
        <family val="2"/>
        <scheme val="minor"/>
      </rPr>
      <t xml:space="preserve">KIAA0408, ABCB9, RAPGEF3, ACVR1C, </t>
    </r>
    <r>
      <rPr>
        <b/>
        <sz val="11"/>
        <color theme="1"/>
        <rFont val="Calibri"/>
        <family val="2"/>
        <scheme val="minor"/>
      </rPr>
      <t xml:space="preserve">and </t>
    </r>
    <r>
      <rPr>
        <b/>
        <i/>
        <sz val="11"/>
        <color theme="1"/>
        <rFont val="Calibri"/>
        <family val="2"/>
        <scheme val="minor"/>
      </rPr>
      <t>ANGPTL4</t>
    </r>
    <r>
      <rPr>
        <b/>
        <sz val="11"/>
        <color theme="1"/>
        <rFont val="Calibri"/>
        <family val="2"/>
        <scheme val="minor"/>
      </rPr>
      <t>, using European ancestry data from the UKBiobank.</t>
    </r>
  </si>
  <si>
    <r>
      <t>Supplementary Table 7. The variance explained for WHRadjBMI based on selections of variants that meet the indicated P-value or minor allele frequency (MAF) thresholds.</t>
    </r>
    <r>
      <rPr>
        <b/>
        <vertAlign val="superscript"/>
        <sz val="11"/>
        <color theme="1"/>
        <rFont val="Calibri"/>
        <family val="2"/>
        <scheme val="minor"/>
      </rPr>
      <t>a</t>
    </r>
  </si>
  <si>
    <r>
      <t xml:space="preserve">Supplementary Table 9. Triglyceride change in transgenic RNAi </t>
    </r>
    <r>
      <rPr>
        <b/>
        <i/>
        <sz val="10"/>
        <color theme="1"/>
        <rFont val="Calibri"/>
        <family val="2"/>
        <scheme val="minor"/>
      </rPr>
      <t>Drosophila</t>
    </r>
    <r>
      <rPr>
        <b/>
        <sz val="10"/>
        <color theme="1"/>
        <rFont val="Calibri"/>
        <family val="2"/>
        <scheme val="minor"/>
      </rPr>
      <t xml:space="preserve"> as compared to control for the genes having array-wide significant coding variants identified in the final combined meta-analysis and available fly orthologs.</t>
    </r>
  </si>
  <si>
    <r>
      <t>Supplementary Table 10. Inflation factors (λ</t>
    </r>
    <r>
      <rPr>
        <b/>
        <vertAlign val="subscript"/>
        <sz val="11"/>
        <color theme="1"/>
        <rFont val="Calibri"/>
        <family val="2"/>
        <scheme val="minor"/>
      </rPr>
      <t>GC</t>
    </r>
    <r>
      <rPr>
        <b/>
        <sz val="11"/>
        <color theme="1"/>
        <rFont val="Calibri"/>
        <family val="2"/>
        <scheme val="minor"/>
      </rPr>
      <t xml:space="preserve">) for WHRadjBMI single-variant meta-analyses in the Stage 1 results based on the different categories of variants present on the ExomeChip. </t>
    </r>
  </si>
  <si>
    <t>SD17</t>
  </si>
  <si>
    <t>SD14</t>
  </si>
  <si>
    <t>SD16</t>
  </si>
  <si>
    <t>SD15</t>
  </si>
  <si>
    <t>SD13</t>
  </si>
  <si>
    <t>SD12</t>
  </si>
  <si>
    <t>k We do not comment on direction of effect if MAF&gt;0.45. Direction of effect is relative to WHR-increasing allele.</t>
  </si>
  <si>
    <t>j Ancestry of sample used for association with GWASCat SNP.</t>
  </si>
  <si>
    <t>i Outcome associated with GWASCat SNP.</t>
  </si>
  <si>
    <t xml:space="preserve">h Distance between GWASCat SNP and WHRadjBMI SNP </t>
  </si>
  <si>
    <t>g Linkage disequilibrium R2 between WHRadjBMI SNP and the GWASCat SNP</t>
  </si>
  <si>
    <t xml:space="preserve">f Gene that the GWASCat SNP is in. </t>
  </si>
  <si>
    <t xml:space="preserve">e Position for the GWASCat SNP according to Human genome assembly build 37.  </t>
  </si>
  <si>
    <t>d SNP from the GWAS catalog within the specificed LD (R2&lt;0.2) and distance (+/-500Kb) of the WHRadjBMI SNP.</t>
  </si>
  <si>
    <t xml:space="preserve">c Gene that the WHRadjBMI SNP is in. </t>
  </si>
  <si>
    <t xml:space="preserve">b Position for the WHRadjBMI SNP according to Human genome assembly build 37.  </t>
  </si>
  <si>
    <t>a SNP of interest from the current study that is associated with WHRadjBMI.</t>
  </si>
  <si>
    <t>Abbreviations: GWASCat= GWAS catalog; EAF=effect allele frequency; NR=not reported; N=sample size;OR=odds ratio;</t>
  </si>
  <si>
    <t>rs2236164</t>
  </si>
  <si>
    <t>Infant length</t>
  </si>
  <si>
    <t>rs143384</t>
  </si>
  <si>
    <t>UQCC1 - GDF5</t>
  </si>
  <si>
    <t>rs224329</t>
  </si>
  <si>
    <t>NR</t>
  </si>
  <si>
    <t>rs6088813</t>
  </si>
  <si>
    <t>European, East Asian</t>
  </si>
  <si>
    <t>Spine bone size</t>
  </si>
  <si>
    <t>rs6060373</t>
  </si>
  <si>
    <t>Developmental dysplasia of the hip</t>
  </si>
  <si>
    <t>rs6088792</t>
  </si>
  <si>
    <t>rs6060369</t>
  </si>
  <si>
    <t>PHF20</t>
  </si>
  <si>
    <t>rs2425163</t>
  </si>
  <si>
    <t>European, African</t>
  </si>
  <si>
    <t>Ulcerative colitis</t>
  </si>
  <si>
    <t>rs6088765</t>
  </si>
  <si>
    <t>European, South Asian, East Asian</t>
  </si>
  <si>
    <t>Ulcerative colitis:(EA)</t>
  </si>
  <si>
    <t>Homocysteine levels</t>
  </si>
  <si>
    <t>FGF21</t>
  </si>
  <si>
    <t>rs838133</t>
  </si>
  <si>
    <t>non_coding_transcript_exon_variant</t>
  </si>
  <si>
    <t>Dietary macronutrient intake:(Carbohydrate)</t>
  </si>
  <si>
    <t>rs838147</t>
  </si>
  <si>
    <t>Inflammatory skin disease:(Opposed)</t>
  </si>
  <si>
    <t>rs380743</t>
  </si>
  <si>
    <t>European, Hispanic/Latino</t>
  </si>
  <si>
    <t>Urinary metabolites (H-NMR features):(1.2575, Fucose)</t>
  </si>
  <si>
    <t>rs281408</t>
  </si>
  <si>
    <t>Urinary metabolites (H-NMR features):(5.2825, Fucose)</t>
  </si>
  <si>
    <t>rs2287921</t>
  </si>
  <si>
    <t>Multiple sclerosis:(Conditioned on rs2303759)</t>
  </si>
  <si>
    <t>FUT2 - MAMSTR</t>
  </si>
  <si>
    <t>rs281380</t>
  </si>
  <si>
    <t>3_prime_UTR_variant</t>
  </si>
  <si>
    <t>Metabolic traits:(SM-11 + 2 other traits)</t>
  </si>
  <si>
    <t>rs503279</t>
  </si>
  <si>
    <t>Serum lipase activity</t>
  </si>
  <si>
    <t>rs632111</t>
  </si>
  <si>
    <t>Crohn's disease</t>
  </si>
  <si>
    <t>rs504963</t>
  </si>
  <si>
    <t>Folate pathway vitamin levels:(vitamin B12)</t>
  </si>
  <si>
    <t>rs602662</t>
  </si>
  <si>
    <t>stop_gained</t>
  </si>
  <si>
    <t>Blood metabolite ratios:(ADSGEGDFXAEGGGVR/ADpSGEGDFXAEGGGVR)</t>
  </si>
  <si>
    <t>rs601338</t>
  </si>
  <si>
    <t>Liver enzyme levels (alkaline phosphatase)</t>
  </si>
  <si>
    <t>rs281377</t>
  </si>
  <si>
    <t>Vitamin B12 levels</t>
  </si>
  <si>
    <t>Hispanic/Latino</t>
  </si>
  <si>
    <t>Obesity-related traits:(Vitamin B12 )</t>
  </si>
  <si>
    <t>rs516246</t>
  </si>
  <si>
    <t>European, South Asian</t>
  </si>
  <si>
    <t>Liver enzyme levels (gamma-glutamyl transferase)</t>
  </si>
  <si>
    <t>Crohn's disease:(EA)</t>
  </si>
  <si>
    <t>Dietary macronutrient intake:(Protein - model 2)</t>
  </si>
  <si>
    <t>rs838145</t>
  </si>
  <si>
    <t>Dietary macronutrient intake:(Fat)</t>
  </si>
  <si>
    <t>Vitamin B levels in ischemic stroke:(Vitamin B12)</t>
  </si>
  <si>
    <t>Urinary metabolites (H-NMR features):(5.2125, Fucose)</t>
  </si>
  <si>
    <t>Urinary metabolites (H-NMR features):(5.2275, Fucose)</t>
  </si>
  <si>
    <t>Retinal vascular caliber:(Retinal venular caliber)</t>
  </si>
  <si>
    <t>Bipolar disorder</t>
  </si>
  <si>
    <t>Pubertal anthropometrics:(Single Height-males)</t>
  </si>
  <si>
    <t>rs281379</t>
  </si>
  <si>
    <t>Blood metabolite ratios:(DSGEGDFXAEGGGVR/ADpSGEGDFXAEGGGVR)</t>
  </si>
  <si>
    <t>Folate pathway vitamin levels:(Plasma Vitamin B12)</t>
  </si>
  <si>
    <t>Blood metabolite levels:(ADpSGEGDFXAEGGGVR)</t>
  </si>
  <si>
    <t>Cholesterol, total</t>
  </si>
  <si>
    <t>Inflammatory bowel disease:(EA)</t>
  </si>
  <si>
    <t>Multiple sclerosis</t>
  </si>
  <si>
    <t>HDL cholesterol</t>
  </si>
  <si>
    <t>intergenic_variant</t>
  </si>
  <si>
    <t>Coronary artery disease or ischemic stroke</t>
  </si>
  <si>
    <t>PEMT - LOC105371564</t>
  </si>
  <si>
    <t>rs12449964</t>
  </si>
  <si>
    <t>Coronary heart disease</t>
  </si>
  <si>
    <t>rs12936587</t>
  </si>
  <si>
    <t>Coronary artery disease or large artery stroke</t>
  </si>
  <si>
    <t>Coronary artery disease</t>
  </si>
  <si>
    <t>DPEP3</t>
  </si>
  <si>
    <t>rs255049</t>
  </si>
  <si>
    <t>African</t>
  </si>
  <si>
    <t>EDC4</t>
  </si>
  <si>
    <t>rs8060686</t>
  </si>
  <si>
    <t>GFOD2</t>
  </si>
  <si>
    <t>rs12449157</t>
  </si>
  <si>
    <t>EXOC3L1 - E2F4</t>
  </si>
  <si>
    <t>rs3729639</t>
  </si>
  <si>
    <t>Metabolic syndrome:(HDL)</t>
  </si>
  <si>
    <t>Ashkenazi Jewish</t>
  </si>
  <si>
    <t>Schizophrenia</t>
  </si>
  <si>
    <t>rs6500602</t>
  </si>
  <si>
    <t>Chronic lymphocytic leukemia</t>
  </si>
  <si>
    <t>LOC105370831</t>
  </si>
  <si>
    <t>rs11636802</t>
  </si>
  <si>
    <t>Educational attainment</t>
  </si>
  <si>
    <t>rs1105881</t>
  </si>
  <si>
    <t>Adiponectin levels</t>
  </si>
  <si>
    <t>ZNF664, ZNF664-FAM101A</t>
  </si>
  <si>
    <t>rs1187415</t>
  </si>
  <si>
    <t>ZNF664-FAM101A, ZNF664</t>
  </si>
  <si>
    <t>rs34102591</t>
  </si>
  <si>
    <t>rs4765127</t>
  </si>
  <si>
    <t>Osteoarthritis (hip)</t>
  </si>
  <si>
    <t>rs10773046</t>
  </si>
  <si>
    <t>Visceral adipose tissue/subcutaneous adipose tissue ratio:(women)</t>
  </si>
  <si>
    <t>rs1048497</t>
  </si>
  <si>
    <t>Visceral adipose tissue adjusted for BMI:(Overall)</t>
  </si>
  <si>
    <t>IgG glycosylation:(IGP15)</t>
  </si>
  <si>
    <t>rs7978454</t>
  </si>
  <si>
    <t>Pubertal anthropometrics:(Single Height)</t>
  </si>
  <si>
    <t>TMED2 - DDX55</t>
  </si>
  <si>
    <t>rs786425</t>
  </si>
  <si>
    <t>Temperament (bipolar disorder):(Anxious)</t>
  </si>
  <si>
    <t>WSCD2, LOC105369965</t>
  </si>
  <si>
    <t>rs7313402</t>
  </si>
  <si>
    <t>Blood pressure:(Pulse Pressure)</t>
  </si>
  <si>
    <t>rs9663362</t>
  </si>
  <si>
    <t>Coffee consumption (cups per day)</t>
  </si>
  <si>
    <t>rs7800944</t>
  </si>
  <si>
    <t>European , South Asian</t>
  </si>
  <si>
    <t>rs17145750</t>
  </si>
  <si>
    <t>European, Hispanic/Latino, South Asian</t>
  </si>
  <si>
    <t>Metabolic syndrome:(TG)</t>
  </si>
  <si>
    <t>rs13226650</t>
  </si>
  <si>
    <t>Lipid metabolism phenotypes:(VLDL-D)</t>
  </si>
  <si>
    <t>rs13247874</t>
  </si>
  <si>
    <t>TBL2 - MLXIPL</t>
  </si>
  <si>
    <t>rs9638182</t>
  </si>
  <si>
    <t>Hypertriglyceridemia</t>
  </si>
  <si>
    <t>rs2286276</t>
  </si>
  <si>
    <t>BCL7B - TBL2</t>
  </si>
  <si>
    <t>rs17145738</t>
  </si>
  <si>
    <t>Not in Table 1 or 2</t>
  </si>
  <si>
    <t>Gamma glutamyl transpeptidase</t>
  </si>
  <si>
    <t>rs12539316</t>
  </si>
  <si>
    <t>C-reactive protein levels</t>
  </si>
  <si>
    <t>rs13233571</t>
  </si>
  <si>
    <t>Protein C levels</t>
  </si>
  <si>
    <t>BAZ1B</t>
  </si>
  <si>
    <t>rs17145713</t>
  </si>
  <si>
    <t>rs714052</t>
  </si>
  <si>
    <t>splice_region_variant</t>
  </si>
  <si>
    <t>Urate levels</t>
  </si>
  <si>
    <t>rs1178977</t>
  </si>
  <si>
    <t>rs1178979</t>
  </si>
  <si>
    <t xml:space="preserve">European </t>
  </si>
  <si>
    <t>Caffeine consumption</t>
  </si>
  <si>
    <t>Metabolite levels:(BUN)</t>
  </si>
  <si>
    <t>RSPO3, LOC105377988</t>
  </si>
  <si>
    <t>rs6569474</t>
  </si>
  <si>
    <t>East Asian, European</t>
  </si>
  <si>
    <t>Bone properties (heel):(VOS)</t>
  </si>
  <si>
    <t>LOC105377988, RSPO3</t>
  </si>
  <si>
    <t>rs7741021</t>
  </si>
  <si>
    <t>Bone properties (heel):(BUA)</t>
  </si>
  <si>
    <t>Bone properties (heel):(BMD-DXA)</t>
  </si>
  <si>
    <t>rs2503322</t>
  </si>
  <si>
    <t>rs9491697</t>
  </si>
  <si>
    <t>LOC105377989</t>
  </si>
  <si>
    <t>rs1936800</t>
  </si>
  <si>
    <t xml:space="preserve">East Asian </t>
  </si>
  <si>
    <t>Renal function-related traits (BUN)</t>
  </si>
  <si>
    <t>Iron status biomarkers:(serum ferritin)</t>
  </si>
  <si>
    <t>rs972275</t>
  </si>
  <si>
    <t>PPARD</t>
  </si>
  <si>
    <t>rs9470004</t>
  </si>
  <si>
    <t>Non-small cell lung cancer:(Dominant model)</t>
  </si>
  <si>
    <t>ANKS1A</t>
  </si>
  <si>
    <t>rs847845</t>
  </si>
  <si>
    <t>Pubertal anthropometrics:(Pubertal growth)</t>
  </si>
  <si>
    <t>rs9469890</t>
  </si>
  <si>
    <t>Systemic lupus erythematosus</t>
  </si>
  <si>
    <t>RPS10P13 - SNRPC</t>
  </si>
  <si>
    <t>rs2764208</t>
  </si>
  <si>
    <t>LOC105375029 - RPS10P13</t>
  </si>
  <si>
    <t>rs2764209</t>
  </si>
  <si>
    <t>Height:(Conditioned on rs2780226)</t>
  </si>
  <si>
    <t>LOC105375029</t>
  </si>
  <si>
    <t>rs6938239</t>
  </si>
  <si>
    <t>rs2814993</t>
  </si>
  <si>
    <t>rs2744971</t>
  </si>
  <si>
    <t>European, African, Hispanic/Latino</t>
  </si>
  <si>
    <t>Body mass index:(EA, women)</t>
  </si>
  <si>
    <t>rs205262</t>
  </si>
  <si>
    <t>Body mass index</t>
  </si>
  <si>
    <t>Body mass index:(EA)</t>
  </si>
  <si>
    <t>SPDEF - C6orf106</t>
  </si>
  <si>
    <t>rs2814944</t>
  </si>
  <si>
    <t>Sitting height ratio:(EA)</t>
  </si>
  <si>
    <t>FGFR4 - LOC101928726</t>
  </si>
  <si>
    <t>rs2011077</t>
  </si>
  <si>
    <t>SFMBT1, LOC105377135</t>
  </si>
  <si>
    <t>rs2581794</t>
  </si>
  <si>
    <t>East Asian, Southeast Asian</t>
  </si>
  <si>
    <t>rs2535633</t>
  </si>
  <si>
    <t>ITIH3 - ITIH4</t>
  </si>
  <si>
    <t>rs2535627</t>
  </si>
  <si>
    <t>rs4687552</t>
  </si>
  <si>
    <t>rs736408</t>
  </si>
  <si>
    <t>Autism spectrum disorder, attention deficit-hyperactivity disorder, bipolar disorder, major depressive disorder, and schizophrenia (combined)</t>
  </si>
  <si>
    <t>ITIH1</t>
  </si>
  <si>
    <t>rs1042779</t>
  </si>
  <si>
    <t>Glaucoma (primary open-angle)</t>
  </si>
  <si>
    <t>rs2710323</t>
  </si>
  <si>
    <t>Autism spectrum disorder, attention deficit-hyperactivity disorder, bipolar disorder, major depressive disorder, and schizophrenia (combined):(Modelling analysis)</t>
  </si>
  <si>
    <t>GLT8D1</t>
  </si>
  <si>
    <t>rs6765687</t>
  </si>
  <si>
    <t>rs1108842</t>
  </si>
  <si>
    <t>Bipolar disorder with mood-incongruent psychosis</t>
  </si>
  <si>
    <t>PBRM1</t>
  </si>
  <si>
    <t>rs10865974</t>
  </si>
  <si>
    <t>European, African, Southeast Asian</t>
  </si>
  <si>
    <t>rs2590838</t>
  </si>
  <si>
    <t>Cognitive function</t>
  </si>
  <si>
    <t>rs4282054</t>
  </si>
  <si>
    <t>Electroencephalogram traits:(Alpha power, Cz)</t>
  </si>
  <si>
    <t>GLYCTK - DNAH1</t>
  </si>
  <si>
    <t>rs9311474</t>
  </si>
  <si>
    <t>PPM1M - WDR82</t>
  </si>
  <si>
    <t>rs11717383</t>
  </si>
  <si>
    <t>European, African, Asian</t>
  </si>
  <si>
    <t>Schizophrenia, schizoaffective disorder or bipolar disorder</t>
  </si>
  <si>
    <t>Osteoarthritis</t>
  </si>
  <si>
    <t>rs11177</t>
  </si>
  <si>
    <t>Major mood disorders</t>
  </si>
  <si>
    <t>rs2251219</t>
  </si>
  <si>
    <t xml:space="preserve">European, South Asian, East Asian </t>
  </si>
  <si>
    <t>TFPI, LOC105373786</t>
  </si>
  <si>
    <t>Heart rate</t>
  </si>
  <si>
    <t>rs4140885</t>
  </si>
  <si>
    <t>LOC105373787 - CALCRL</t>
  </si>
  <si>
    <t>rs840616</t>
  </si>
  <si>
    <t>European, African American, Hispanic/Latino</t>
  </si>
  <si>
    <t>Body mass index:(EA, men)</t>
  </si>
  <si>
    <t>rs13424740</t>
  </si>
  <si>
    <t>Response to statin therapy:(Triglyceride, sum)</t>
  </si>
  <si>
    <t>Fasting insulin-related traits (interaction with BMI)</t>
  </si>
  <si>
    <t>rs12328675</t>
  </si>
  <si>
    <t>Sexual dimorphism in anthropometric traits:(WHRadjBMI, women)</t>
  </si>
  <si>
    <t>rs6717858</t>
  </si>
  <si>
    <t>LOC101929615</t>
  </si>
  <si>
    <t>European, South Asian, East Asian, Hispanic/Latino</t>
  </si>
  <si>
    <t>Type 2 diabetes</t>
  </si>
  <si>
    <t>GRB14 - LOC101929615</t>
  </si>
  <si>
    <t>rs3923113</t>
  </si>
  <si>
    <t>South Asian</t>
  </si>
  <si>
    <t>PUBMEDID</t>
  </si>
  <si>
    <r>
      <t>Consistent Direction of Effect with WHR-increasing Allele</t>
    </r>
    <r>
      <rPr>
        <b/>
        <vertAlign val="superscript"/>
        <sz val="11"/>
        <color theme="1"/>
        <rFont val="Calibri"/>
        <family val="2"/>
        <scheme val="minor"/>
      </rPr>
      <t>k</t>
    </r>
  </si>
  <si>
    <t>OR/Beta</t>
  </si>
  <si>
    <t>P-Value</t>
  </si>
  <si>
    <t>Variant location relevant to mapped gene</t>
  </si>
  <si>
    <t>Effect
Allele</t>
  </si>
  <si>
    <t>Total N</t>
  </si>
  <si>
    <r>
      <t>Ancestry</t>
    </r>
    <r>
      <rPr>
        <b/>
        <vertAlign val="superscript"/>
        <sz val="11"/>
        <color theme="1"/>
        <rFont val="Calibri"/>
        <family val="2"/>
        <scheme val="minor"/>
      </rPr>
      <t>j</t>
    </r>
  </si>
  <si>
    <r>
      <t>Disease/Trait:Notes</t>
    </r>
    <r>
      <rPr>
        <b/>
        <vertAlign val="superscript"/>
        <sz val="11"/>
        <color theme="1"/>
        <rFont val="Calibri"/>
        <family val="2"/>
        <scheme val="minor"/>
      </rPr>
      <t>i</t>
    </r>
  </si>
  <si>
    <r>
      <t xml:space="preserve">Distance </t>
    </r>
    <r>
      <rPr>
        <b/>
        <vertAlign val="superscript"/>
        <sz val="11"/>
        <color theme="1"/>
        <rFont val="Calibri"/>
        <family val="2"/>
        <scheme val="minor"/>
      </rPr>
      <t>h</t>
    </r>
  </si>
  <si>
    <r>
      <t>R</t>
    </r>
    <r>
      <rPr>
        <b/>
        <vertAlign val="superscript"/>
        <sz val="11"/>
        <color theme="1"/>
        <rFont val="Calibri"/>
        <family val="2"/>
        <scheme val="minor"/>
      </rPr>
      <t>2 g</t>
    </r>
  </si>
  <si>
    <r>
      <t xml:space="preserve">Mapped Gene, GWASCat SNP </t>
    </r>
    <r>
      <rPr>
        <b/>
        <vertAlign val="superscript"/>
        <sz val="11"/>
        <color theme="1"/>
        <rFont val="Calibri"/>
        <family val="2"/>
        <scheme val="minor"/>
      </rPr>
      <t>f</t>
    </r>
  </si>
  <si>
    <r>
      <t>Pos (GRCh37), GWASCat SNP</t>
    </r>
    <r>
      <rPr>
        <b/>
        <vertAlign val="superscript"/>
        <sz val="11"/>
        <color theme="1"/>
        <rFont val="Calibri"/>
        <family val="2"/>
        <scheme val="minor"/>
      </rPr>
      <t>e</t>
    </r>
  </si>
  <si>
    <r>
      <t>GWASCat SNP</t>
    </r>
    <r>
      <rPr>
        <b/>
        <vertAlign val="superscript"/>
        <sz val="11"/>
        <color theme="1"/>
        <rFont val="Calibri"/>
        <family val="2"/>
        <scheme val="minor"/>
      </rPr>
      <t>d</t>
    </r>
  </si>
  <si>
    <t>WHRadjBMI SNP EAF</t>
  </si>
  <si>
    <r>
      <t xml:space="preserve">Gene, WHRadjBMI SNP </t>
    </r>
    <r>
      <rPr>
        <b/>
        <vertAlign val="superscript"/>
        <sz val="11"/>
        <color theme="1"/>
        <rFont val="Calibri"/>
        <family val="2"/>
        <scheme val="minor"/>
      </rPr>
      <t>c</t>
    </r>
  </si>
  <si>
    <r>
      <t>Pos (GRCh37), WHRadjBMI SNP</t>
    </r>
    <r>
      <rPr>
        <b/>
        <vertAlign val="superscript"/>
        <sz val="11"/>
        <color theme="1"/>
        <rFont val="Calibri"/>
        <family val="2"/>
        <scheme val="minor"/>
      </rPr>
      <t>b</t>
    </r>
  </si>
  <si>
    <r>
      <t xml:space="preserve">WHRadjBMI SNP </t>
    </r>
    <r>
      <rPr>
        <b/>
        <vertAlign val="superscript"/>
        <sz val="11"/>
        <color theme="1"/>
        <rFont val="Calibri"/>
        <family val="2"/>
        <scheme val="minor"/>
      </rPr>
      <t>a</t>
    </r>
  </si>
  <si>
    <t>Supplementary Data 12. Previously-reported associations with other traits in the GWAS Catalog for significant WHRadjBMI variants from the current study. This table lists all previously-reported associations within 1 MB (+/- 500 kb) and in high LD (r2 &gt;0.2) with our lead novel SNPs along with relevant annotation (e.g. miRNA target binding site, variant location relevant to nearest gene) reported in the GWAS Catalog.</t>
  </si>
  <si>
    <r>
      <t>Supplementary Data 17. Variant Effect Predictor (VEP)</t>
    </r>
    <r>
      <rPr>
        <b/>
        <vertAlign val="superscript"/>
        <sz val="11"/>
        <rFont val="Calibri"/>
        <family val="2"/>
        <scheme val="minor"/>
      </rPr>
      <t>a</t>
    </r>
    <r>
      <rPr>
        <b/>
        <sz val="11"/>
        <rFont val="Calibri"/>
        <family val="2"/>
        <scheme val="minor"/>
      </rPr>
      <t xml:space="preserve"> annotation for the AWS (P-value&lt;2E-7) coding</t>
    </r>
    <r>
      <rPr>
        <b/>
        <vertAlign val="superscript"/>
        <sz val="11"/>
        <rFont val="Calibri"/>
        <family val="2"/>
        <scheme val="minor"/>
      </rPr>
      <t>b</t>
    </r>
    <r>
      <rPr>
        <b/>
        <sz val="11"/>
        <rFont val="Calibri"/>
        <family val="2"/>
        <scheme val="minor"/>
      </rPr>
      <t xml:space="preserve"> variants associated with WHRadjBMI in the final combined meta-analysis.</t>
    </r>
  </si>
  <si>
    <t>Supplementary Data 16. Detailed description for each of the variants that met array-wide significance in the stage 1 plus stage 2 sex-combined analyses, men only analyses, or women only analyses (see also Tables 1 and 2).</t>
  </si>
  <si>
    <r>
      <t xml:space="preserve">Supplementary Data 15. Exome variant - expression quantitative trait loci (eQTL) gene associations at false discovery rate &lt;5% identified in the </t>
    </r>
    <r>
      <rPr>
        <b/>
        <sz val="12"/>
        <color rgb="FF000000"/>
        <rFont val="Calibri"/>
        <family val="2"/>
        <scheme val="minor"/>
      </rPr>
      <t>Genotype-Tissue Expression (</t>
    </r>
    <r>
      <rPr>
        <b/>
        <sz val="11"/>
        <color theme="1"/>
        <rFont val="Calibri"/>
        <family val="2"/>
        <scheme val="minor"/>
      </rPr>
      <t>GTEx)</t>
    </r>
    <r>
      <rPr>
        <b/>
        <sz val="11"/>
        <color rgb="FF000000"/>
        <rFont val="Calibri"/>
        <family val="2"/>
        <scheme val="minor"/>
      </rPr>
      <t xml:space="preserve"> database.</t>
    </r>
    <r>
      <rPr>
        <b/>
        <vertAlign val="superscript"/>
        <sz val="11"/>
        <color rgb="FF000000"/>
        <rFont val="Calibri"/>
        <family val="2"/>
        <scheme val="minor"/>
      </rPr>
      <t>a</t>
    </r>
  </si>
  <si>
    <r>
      <t>Supplementary Data 14. Exome variant - expression quantitative trait loci (eQTL) gene associations at false discovery rate &lt;1% identified in the adipose eQTL database consisting of 770 samples from the METSIM (METabolic Syndrome In Men) Study.</t>
    </r>
    <r>
      <rPr>
        <b/>
        <vertAlign val="superscript"/>
        <sz val="11"/>
        <color rgb="FF000000"/>
        <rFont val="Calibri"/>
        <family val="2"/>
        <scheme val="minor"/>
      </rPr>
      <t xml:space="preserve"> </t>
    </r>
    <r>
      <rPr>
        <b/>
        <sz val="11"/>
        <color rgb="FF000000"/>
        <rFont val="Calibri"/>
        <family val="2"/>
        <scheme val="minor"/>
      </rPr>
      <t xml:space="preserve"> </t>
    </r>
  </si>
  <si>
    <t>Supplementary Data 13. Genes that have been linked to monogenic and syndromic obesity.</t>
  </si>
  <si>
    <t>SD18</t>
  </si>
  <si>
    <t>Supplementary Data 4. Sex combined stage 1 and stage 2 results for all variants with initial stage 1 results that met P-value&lt;2E-6 for European or All ancestry sex-combined, men only, or women only analyses.</t>
  </si>
  <si>
    <t>Supplementary Data 5. Male-Specific  stage 1 and stage 2 results for all variants with initial stage 1 results that met P-value&lt;2e-6 for European or All ancestry sex-combined, men only, or women only analyses.</t>
  </si>
  <si>
    <t>Supplementary Data 6. Female-Specific stage 1 and stage 2 results for all variants with initial stage 1 results that met P-value&lt;2e-6 for European or All ancestry sex-combined, men only, or women only analyses.</t>
  </si>
  <si>
    <t>Supplementary Data 18. Detailed acknowledgements by study and/or contributing author(s).</t>
  </si>
  <si>
    <r>
      <t>Supplementary Table 4. Conditional analysis of coding variants</t>
    </r>
    <r>
      <rPr>
        <b/>
        <vertAlign val="superscript"/>
        <sz val="12"/>
        <rFont val="Calibri"/>
        <family val="2"/>
      </rPr>
      <t>a</t>
    </r>
    <r>
      <rPr>
        <b/>
        <sz val="12"/>
        <rFont val="Calibri"/>
        <family val="2"/>
      </rPr>
      <t xml:space="preserve">  that reach array-wide significance (P-value&lt;2e-7) on lead known variants within a locus (1Mb region) identified from Genome-wide association studies (GWAS) for WHR adjusted for BMI. Analyses were performed using the all ancestries ExomeChip discovery dataset when the variant or a proxy (at R</t>
    </r>
    <r>
      <rPr>
        <b/>
        <vertAlign val="superscript"/>
        <sz val="12"/>
        <rFont val="Calibri"/>
        <family val="2"/>
      </rPr>
      <t>2</t>
    </r>
    <r>
      <rPr>
        <b/>
        <sz val="12"/>
        <rFont val="Calibri"/>
        <family val="2"/>
      </rPr>
      <t>≥0.8) was available</t>
    </r>
    <r>
      <rPr>
        <b/>
        <vertAlign val="superscript"/>
        <sz val="12"/>
        <rFont val="Calibri"/>
        <family val="2"/>
      </rPr>
      <t>b,c</t>
    </r>
    <r>
      <rPr>
        <b/>
        <sz val="12"/>
        <rFont val="Calibri"/>
        <family val="2"/>
      </rPr>
      <t>.</t>
    </r>
  </si>
  <si>
    <r>
      <t>Supplementary Table 3. Approximate conditional analysis for multiple signals at a given locus (1Mb region) in the GIANT discovery set of array-wide significant coding variants</t>
    </r>
    <r>
      <rPr>
        <b/>
        <vertAlign val="superscript"/>
        <sz val="11"/>
        <rFont val="Calibri"/>
        <family val="2"/>
        <scheme val="minor"/>
      </rPr>
      <t>a</t>
    </r>
    <r>
      <rPr>
        <b/>
        <sz val="11"/>
        <rFont val="Calibri"/>
        <family val="2"/>
        <scheme val="minor"/>
      </rPr>
      <t xml:space="preserve"> (P-value&lt;2e-7) in the all ancestry and European only analyses.</t>
    </r>
  </si>
  <si>
    <t>Supplementary Table 2. Gene-based analyses that reached multiple correction threshold (Unconditioned P-value&lt;2.5x10-6) in the sex-combined, men and women analyses using SNP-set (Sequence) Kernel Association Test (SKAT) and/or Variable Threshold (VT) test of association with conditional results on the most significant single variant.</t>
  </si>
  <si>
    <r>
      <t>Supplementary Table 1.Correction of standard error (SE) estimates for SNPs reaching array-wide significance in the stage 1 plus stage 2 combined sexes, women-only, and men-only analyses for potential collider bias using BMI estimates from the ExomeChip data.</t>
    </r>
    <r>
      <rPr>
        <b/>
        <vertAlign val="superscript"/>
        <sz val="11"/>
        <color theme="1"/>
        <rFont val="Calibri"/>
        <family val="2"/>
        <scheme val="minor"/>
      </rPr>
      <t xml:space="preserve">a  </t>
    </r>
    <r>
      <rPr>
        <b/>
        <sz val="11"/>
        <color theme="1"/>
        <rFont val="Calibri"/>
        <family val="2"/>
        <scheme val="minor"/>
      </rPr>
      <t>Those variants that do not remain significant after correction are highlighted in yellow (P-value&gt;0.05/55 variants examined, P-value&lt;9.091e-4).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</si>
</sst>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_(* \(#,##0.00\);_(* &quot;-&quot;??_);_(@_)"/>
    <numFmt numFmtId="164" formatCode="0.000"/>
    <numFmt numFmtId="165" formatCode="0.0000"/>
    <numFmt numFmtId="166" formatCode="_ * #,##0.00_ ;_ * \-#,##0.00_ ;_ * &quot;-&quot;??_ ;_ @_ "/>
    <numFmt numFmtId="167" formatCode="_-* #,##0.00\ _€_-;\-* #,##0.00\ _€_-;_-* &quot;-&quot;??\ _€_-;_-@_-"/>
    <numFmt numFmtId="168" formatCode="0.00E+00;\_x0000_"/>
    <numFmt numFmtId="169" formatCode="0.0E+00"/>
    <numFmt numFmtId="170" formatCode="#,##0;[Red]#,##0"/>
    <numFmt numFmtId="171" formatCode="0;[Red]0"/>
  </numFmts>
  <fonts count="11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12"/>
      <color indexed="8"/>
      <name val="Calibri"/>
      <family val="2"/>
    </font>
    <font>
      <b/>
      <sz val="11"/>
      <color indexed="8"/>
      <name val="Arial"/>
      <family val="2"/>
    </font>
    <font>
      <b/>
      <u/>
      <sz val="11"/>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vertAlign val="superscript"/>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2"/>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sz val="12"/>
      <color indexed="9"/>
      <name val="Calibri"/>
      <family val="2"/>
    </font>
    <font>
      <sz val="10"/>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333333"/>
      <name val="Calibri"/>
      <family val="2"/>
      <scheme val="minor"/>
    </font>
    <font>
      <i/>
      <sz val="11"/>
      <color indexed="63"/>
      <name val="Calibri"/>
      <family val="2"/>
      <scheme val="minor"/>
    </font>
    <font>
      <sz val="11"/>
      <color indexed="63"/>
      <name val="Calibri"/>
      <family val="2"/>
      <scheme val="minor"/>
    </font>
    <font>
      <b/>
      <sz val="10"/>
      <name val="Calibri"/>
      <family val="2"/>
      <scheme val="minor"/>
    </font>
    <font>
      <b/>
      <sz val="10"/>
      <name val="Calibri"/>
      <family val="2"/>
    </font>
    <font>
      <sz val="11"/>
      <name val="Calibri"/>
      <family val="2"/>
    </font>
    <font>
      <vertAlign val="superscript"/>
      <sz val="11"/>
      <name val="Calibri"/>
      <family val="2"/>
      <scheme val="minor"/>
    </font>
    <font>
      <vertAlign val="superscript"/>
      <sz val="11"/>
      <color theme="1"/>
      <name val="Calibri"/>
      <family val="2"/>
      <scheme val="minor"/>
    </font>
    <font>
      <b/>
      <sz val="11"/>
      <name val="Calibri"/>
      <family val="2"/>
    </font>
    <font>
      <b/>
      <vertAlign val="subscript"/>
      <sz val="11"/>
      <color theme="1"/>
      <name val="Calibri"/>
      <family val="2"/>
      <scheme val="minor"/>
    </font>
    <font>
      <b/>
      <vertAlign val="superscript"/>
      <sz val="11"/>
      <name val="Calibri"/>
      <family val="2"/>
      <scheme val="minor"/>
    </font>
    <font>
      <i/>
      <sz val="12"/>
      <name val="Calibri"/>
      <family val="2"/>
      <scheme val="minor"/>
    </font>
    <font>
      <b/>
      <sz val="11"/>
      <color rgb="FF000000"/>
      <name val="Calibri"/>
      <family val="2"/>
      <scheme val="minor"/>
    </font>
    <font>
      <b/>
      <i/>
      <sz val="11"/>
      <color rgb="FF000000"/>
      <name val="Calibri"/>
      <family val="2"/>
      <scheme val="minor"/>
    </font>
    <font>
      <b/>
      <sz val="12"/>
      <name val="Calibri"/>
      <family val="2"/>
    </font>
    <font>
      <b/>
      <vertAlign val="superscript"/>
      <sz val="11"/>
      <color rgb="FF000000"/>
      <name val="Calibri"/>
      <family val="2"/>
      <scheme val="minor"/>
    </font>
    <font>
      <b/>
      <sz val="10"/>
      <color theme="0"/>
      <name val="Calibri"/>
      <family val="2"/>
      <scheme val="minor"/>
    </font>
    <font>
      <sz val="11"/>
      <name val="MS Sans Serif"/>
      <family val="2"/>
    </font>
    <font>
      <vertAlign val="superscript"/>
      <sz val="11"/>
      <color indexed="8"/>
      <name val="Calibri"/>
      <family val="2"/>
    </font>
    <font>
      <vertAlign val="superscript"/>
      <sz val="11"/>
      <name val="Calibri"/>
      <family val="2"/>
    </font>
    <font>
      <b/>
      <u/>
      <sz val="11"/>
      <color rgb="FF000000"/>
      <name val="Calibri"/>
      <family val="2"/>
      <scheme val="minor"/>
    </font>
    <font>
      <sz val="11"/>
      <color rgb="FF222222"/>
      <name val="Calibri"/>
      <family val="2"/>
      <scheme val="minor"/>
    </font>
    <font>
      <i/>
      <sz val="11"/>
      <color rgb="FF333333"/>
      <name val="Calibri"/>
      <family val="2"/>
      <scheme val="minor"/>
    </font>
    <font>
      <sz val="11"/>
      <color indexed="8"/>
      <name val="Arial"/>
      <family val="2"/>
    </font>
    <font>
      <b/>
      <i/>
      <vertAlign val="superscript"/>
      <sz val="11"/>
      <color theme="1"/>
      <name val="Calibri"/>
      <family val="2"/>
      <scheme val="minor"/>
    </font>
    <font>
      <b/>
      <sz val="11"/>
      <color rgb="FF333333"/>
      <name val="Calibri"/>
      <family val="2"/>
      <scheme val="minor"/>
    </font>
    <font>
      <b/>
      <i/>
      <vertAlign val="superscript"/>
      <sz val="11"/>
      <name val="Calibri"/>
      <family val="2"/>
      <scheme val="minor"/>
    </font>
    <font>
      <b/>
      <vertAlign val="subscript"/>
      <sz val="11"/>
      <name val="Calibri"/>
      <family val="2"/>
      <scheme val="minor"/>
    </font>
    <font>
      <i/>
      <vertAlign val="superscript"/>
      <sz val="11"/>
      <color theme="1"/>
      <name val="Calibri"/>
      <family val="2"/>
      <scheme val="minor"/>
    </font>
    <font>
      <sz val="11"/>
      <color theme="1"/>
      <name val="Calibri"/>
      <family val="2"/>
      <scheme val="minor"/>
    </font>
    <font>
      <sz val="8"/>
      <name val="Verdana"/>
      <family val="2"/>
    </font>
    <font>
      <b/>
      <vertAlign val="superscript"/>
      <sz val="10"/>
      <color theme="1"/>
      <name val="Calibri"/>
      <family val="2"/>
      <scheme val="minor"/>
    </font>
    <font>
      <b/>
      <i/>
      <sz val="10"/>
      <color theme="1"/>
      <name val="Calibri"/>
      <family val="2"/>
      <scheme val="minor"/>
    </font>
    <font>
      <sz val="11"/>
      <color rgb="FFFF0000"/>
      <name val="Calibri"/>
      <family val="2"/>
    </font>
    <font>
      <i/>
      <sz val="11"/>
      <color rgb="FFFF0000"/>
      <name val="Calibri"/>
      <family val="2"/>
      <scheme val="minor"/>
    </font>
    <font>
      <b/>
      <sz val="12"/>
      <color rgb="FFFF0000"/>
      <name val="Calibri"/>
      <family val="2"/>
    </font>
    <font>
      <i/>
      <sz val="11"/>
      <color rgb="FFFF0000"/>
      <name val="Calibri"/>
      <family val="2"/>
    </font>
    <font>
      <sz val="12"/>
      <color rgb="FFFF0000"/>
      <name val="Calibri"/>
      <family val="2"/>
    </font>
    <font>
      <b/>
      <vertAlign val="superscript"/>
      <sz val="12"/>
      <name val="Calibri"/>
      <family val="2"/>
    </font>
    <font>
      <b/>
      <u/>
      <sz val="10"/>
      <color theme="1"/>
      <name val="Calibri"/>
      <family val="2"/>
      <scheme val="minor"/>
    </font>
    <font>
      <u/>
      <sz val="10"/>
      <name val="Calibri"/>
      <family val="2"/>
    </font>
    <font>
      <b/>
      <sz val="12"/>
      <color rgb="FF000000"/>
      <name val="Calibri"/>
      <family val="2"/>
      <scheme val="minor"/>
    </font>
  </fonts>
  <fills count="63">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indexed="30"/>
        <bgColor indexed="21"/>
      </patternFill>
    </fill>
    <fill>
      <patternFill patternType="solid">
        <fgColor theme="0" tint="-0.499984740745262"/>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double">
        <color auto="1"/>
      </right>
      <top/>
      <bottom/>
      <diagonal/>
    </border>
    <border>
      <left/>
      <right/>
      <top style="medium">
        <color auto="1"/>
      </top>
      <bottom style="thin">
        <color auto="1"/>
      </bottom>
      <diagonal/>
    </border>
    <border>
      <left/>
      <right/>
      <top style="medium">
        <color auto="1"/>
      </top>
      <bottom/>
      <diagonal/>
    </border>
    <border>
      <left/>
      <right/>
      <top/>
      <bottom style="double">
        <color rgb="FF000000"/>
      </bottom>
      <diagonal/>
    </border>
    <border>
      <left/>
      <right style="thin">
        <color auto="1"/>
      </right>
      <top style="double">
        <color auto="1"/>
      </top>
      <bottom/>
      <diagonal/>
    </border>
    <border>
      <left style="thin">
        <color auto="1"/>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top style="double">
        <color auto="1"/>
      </top>
      <bottom/>
      <diagonal/>
    </border>
    <border>
      <left/>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medium">
        <color rgb="FFDDDDDD"/>
      </top>
      <bottom/>
      <diagonal/>
    </border>
    <border>
      <left style="thin">
        <color auto="1"/>
      </left>
      <right/>
      <top/>
      <bottom style="medium">
        <color auto="1"/>
      </bottom>
      <diagonal/>
    </border>
    <border>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double">
        <color auto="1"/>
      </bottom>
      <diagonal/>
    </border>
    <border>
      <left style="thin">
        <color auto="1"/>
      </left>
      <right/>
      <top style="double">
        <color auto="1"/>
      </top>
      <bottom style="thin">
        <color auto="1"/>
      </bottom>
      <diagonal/>
    </border>
  </borders>
  <cellStyleXfs count="506">
    <xf numFmtId="0" fontId="0" fillId="0" borderId="0"/>
    <xf numFmtId="0" fontId="11" fillId="0" borderId="0"/>
    <xf numFmtId="0" fontId="12" fillId="0" borderId="0"/>
    <xf numFmtId="0" fontId="19" fillId="4"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43" fontId="17"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42" fillId="0" borderId="0"/>
    <xf numFmtId="0" fontId="42" fillId="0" borderId="0"/>
    <xf numFmtId="166" fontId="42" fillId="0" borderId="0" applyFont="0" applyFill="0" applyBorder="0" applyAlignment="0" applyProtection="0"/>
    <xf numFmtId="0" fontId="17" fillId="0" borderId="0"/>
    <xf numFmtId="0" fontId="17" fillId="0" borderId="0"/>
    <xf numFmtId="167" fontId="42"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12" fillId="0" borderId="0"/>
    <xf numFmtId="9" fontId="12"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2" fillId="0" borderId="0"/>
    <xf numFmtId="9"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2" fillId="0" borderId="0"/>
    <xf numFmtId="9" fontId="12"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43" fontId="12"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7"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6" fillId="44"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51" borderId="0" applyNumberFormat="0" applyBorder="0" applyAlignment="0" applyProtection="0"/>
    <xf numFmtId="0" fontId="47" fillId="35" borderId="0" applyNumberFormat="0" applyBorder="0" applyAlignment="0" applyProtection="0"/>
    <xf numFmtId="0" fontId="48" fillId="52" borderId="22" applyNumberFormat="0" applyAlignment="0" applyProtection="0"/>
    <xf numFmtId="0" fontId="49" fillId="53" borderId="23"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39" borderId="22" applyNumberFormat="0" applyAlignment="0" applyProtection="0"/>
    <xf numFmtId="0" fontId="56" fillId="0" borderId="27" applyNumberFormat="0" applyFill="0" applyAlignment="0" applyProtection="0"/>
    <xf numFmtId="0" fontId="57" fillId="54" borderId="0" applyNumberFormat="0" applyBorder="0" applyAlignment="0" applyProtection="0"/>
    <xf numFmtId="0" fontId="43" fillId="0" borderId="0"/>
    <xf numFmtId="0" fontId="17" fillId="0" borderId="0"/>
    <xf numFmtId="0" fontId="43" fillId="55" borderId="28" applyNumberFormat="0" applyFont="0" applyAlignment="0" applyProtection="0"/>
    <xf numFmtId="0" fontId="44" fillId="52" borderId="29" applyNumberFormat="0" applyAlignment="0" applyProtection="0"/>
    <xf numFmtId="0" fontId="58" fillId="0" borderId="0" applyNumberFormat="0" applyFill="0" applyBorder="0" applyAlignment="0" applyProtection="0"/>
    <xf numFmtId="0" fontId="59" fillId="0" borderId="30" applyNumberFormat="0" applyFill="0" applyAlignment="0" applyProtection="0"/>
    <xf numFmtId="0" fontId="60" fillId="0" borderId="0" applyNumberFormat="0" applyFill="0" applyBorder="0" applyAlignment="0" applyProtection="0"/>
    <xf numFmtId="0" fontId="43" fillId="0" borderId="0"/>
    <xf numFmtId="0" fontId="17" fillId="0" borderId="0"/>
    <xf numFmtId="0" fontId="26" fillId="0" borderId="0" applyNumberFormat="0" applyFill="0" applyBorder="0" applyAlignment="0" applyProtection="0"/>
    <xf numFmtId="0" fontId="43" fillId="0" borderId="0"/>
    <xf numFmtId="0" fontId="42" fillId="0" borderId="0"/>
    <xf numFmtId="0" fontId="19" fillId="4" borderId="0" applyNumberFormat="0" applyBorder="0" applyAlignment="0" applyProtection="0"/>
    <xf numFmtId="0" fontId="17" fillId="28" borderId="0" applyNumberFormat="0" applyBorder="0" applyAlignment="0" applyProtection="0"/>
    <xf numFmtId="166" fontId="42"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32" fillId="0" borderId="0" applyNumberFormat="0" applyFill="0" applyBorder="0" applyAlignment="0" applyProtection="0"/>
    <xf numFmtId="0" fontId="31" fillId="0" borderId="14" applyNumberFormat="0" applyFill="0" applyAlignment="0" applyProtection="0"/>
    <xf numFmtId="0" fontId="17" fillId="9" borderId="20" applyNumberFormat="0" applyFont="0" applyAlignment="0" applyProtection="0"/>
    <xf numFmtId="0" fontId="45" fillId="42" borderId="0" applyNumberFormat="0" applyBorder="0" applyAlignment="0" applyProtection="0"/>
    <xf numFmtId="0" fontId="33" fillId="5" borderId="0" applyNumberFormat="0" applyBorder="0" applyAlignment="0" applyProtection="0"/>
    <xf numFmtId="0" fontId="18" fillId="3" borderId="0" applyNumberFormat="0" applyBorder="0" applyAlignment="0" applyProtection="0"/>
    <xf numFmtId="0" fontId="40" fillId="0" borderId="0" applyNumberFormat="0" applyFill="0" applyBorder="0" applyAlignment="0" applyProtection="0"/>
    <xf numFmtId="0" fontId="10" fillId="0" borderId="21" applyNumberFormat="0" applyFill="0" applyAlignment="0" applyProtection="0"/>
    <xf numFmtId="0" fontId="34" fillId="6" borderId="16" applyNumberFormat="0" applyAlignment="0" applyProtection="0"/>
    <xf numFmtId="0" fontId="36" fillId="7" borderId="16" applyNumberFormat="0" applyAlignment="0" applyProtection="0"/>
    <xf numFmtId="0" fontId="35" fillId="7" borderId="17" applyNumberFormat="0" applyAlignment="0" applyProtection="0"/>
    <xf numFmtId="0" fontId="41" fillId="30" borderId="0" applyNumberFormat="0" applyBorder="0" applyAlignment="0" applyProtection="0"/>
    <xf numFmtId="0" fontId="41" fillId="26" borderId="0" applyNumberFormat="0" applyBorder="0" applyAlignment="0" applyProtection="0"/>
    <xf numFmtId="0" fontId="41" fillId="22" borderId="0" applyNumberFormat="0" applyBorder="0" applyAlignment="0" applyProtection="0"/>
    <xf numFmtId="0" fontId="41" fillId="18"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33" borderId="0" applyNumberFormat="0" applyBorder="0" applyAlignment="0" applyProtection="0"/>
    <xf numFmtId="0" fontId="41" fillId="29"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3" borderId="0" applyNumberFormat="0" applyBorder="0" applyAlignment="0" applyProtection="0"/>
    <xf numFmtId="0" fontId="17" fillId="32" borderId="0" applyNumberFormat="0" applyBorder="0" applyAlignment="0" applyProtection="0"/>
    <xf numFmtId="0" fontId="17" fillId="0" borderId="0"/>
    <xf numFmtId="0" fontId="29" fillId="0" borderId="0" applyNumberFormat="0" applyFill="0" applyBorder="0" applyAlignment="0" applyProtection="0"/>
    <xf numFmtId="0" fontId="37" fillId="0" borderId="18" applyNumberFormat="0" applyFill="0" applyAlignment="0" applyProtection="0"/>
    <xf numFmtId="0" fontId="17" fillId="16"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27" borderId="0" applyNumberFormat="0" applyBorder="0" applyAlignment="0" applyProtection="0"/>
    <xf numFmtId="0" fontId="30" fillId="0" borderId="13" applyNumberFormat="0" applyFill="0" applyAlignment="0" applyProtection="0"/>
    <xf numFmtId="0" fontId="32" fillId="0" borderId="15" applyNumberFormat="0" applyFill="0" applyAlignment="0" applyProtection="0"/>
    <xf numFmtId="0" fontId="39" fillId="0" borderId="0" applyNumberFormat="0" applyFill="0" applyBorder="0" applyAlignment="0" applyProtection="0"/>
    <xf numFmtId="0" fontId="38" fillId="8" borderId="19" applyNumberFormat="0" applyAlignment="0" applyProtection="0"/>
    <xf numFmtId="0" fontId="41" fillId="17" borderId="0" applyNumberFormat="0" applyBorder="0" applyAlignment="0" applyProtection="0"/>
    <xf numFmtId="0" fontId="17" fillId="11"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17" fillId="23" borderId="0" applyNumberFormat="0" applyBorder="0" applyAlignment="0" applyProtection="0"/>
    <xf numFmtId="0" fontId="45" fillId="37" borderId="0" applyNumberFormat="0" applyBorder="0" applyAlignment="0" applyProtection="0"/>
    <xf numFmtId="0" fontId="17" fillId="27" borderId="0" applyNumberFormat="0" applyBorder="0" applyAlignment="0" applyProtection="0"/>
    <xf numFmtId="0" fontId="45" fillId="38" borderId="0" applyNumberFormat="0" applyBorder="0" applyAlignment="0" applyProtection="0"/>
    <xf numFmtId="0" fontId="17" fillId="31" borderId="0" applyNumberFormat="0" applyBorder="0" applyAlignment="0" applyProtection="0"/>
    <xf numFmtId="0" fontId="45" fillId="39" borderId="0" applyNumberFormat="0" applyBorder="0" applyAlignment="0" applyProtection="0"/>
    <xf numFmtId="0" fontId="17" fillId="12" borderId="0" applyNumberFormat="0" applyBorder="0" applyAlignment="0" applyProtection="0"/>
    <xf numFmtId="0" fontId="45" fillId="40" borderId="0" applyNumberFormat="0" applyBorder="0" applyAlignment="0" applyProtection="0"/>
    <xf numFmtId="0" fontId="17" fillId="16" borderId="0" applyNumberFormat="0" applyBorder="0" applyAlignment="0" applyProtection="0"/>
    <xf numFmtId="0" fontId="45" fillId="41"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45" fillId="37" borderId="0" applyNumberFormat="0" applyBorder="0" applyAlignment="0" applyProtection="0"/>
    <xf numFmtId="0" fontId="17" fillId="28" borderId="0" applyNumberFormat="0" applyBorder="0" applyAlignment="0" applyProtection="0"/>
    <xf numFmtId="0" fontId="45" fillId="40" borderId="0" applyNumberFormat="0" applyBorder="0" applyAlignment="0" applyProtection="0"/>
    <xf numFmtId="0" fontId="17" fillId="32" borderId="0" applyNumberFormat="0" applyBorder="0" applyAlignment="0" applyProtection="0"/>
    <xf numFmtId="0" fontId="45" fillId="43" borderId="0" applyNumberFormat="0" applyBorder="0" applyAlignment="0" applyProtection="0"/>
    <xf numFmtId="0" fontId="41" fillId="13" borderId="0" applyNumberFormat="0" applyBorder="0" applyAlignment="0" applyProtection="0"/>
    <xf numFmtId="0" fontId="46" fillId="41" borderId="0" applyNumberFormat="0" applyBorder="0" applyAlignment="0" applyProtection="0"/>
    <xf numFmtId="0" fontId="17" fillId="15" borderId="0" applyNumberFormat="0" applyBorder="0" applyAlignment="0" applyProtection="0"/>
    <xf numFmtId="0" fontId="41" fillId="21" borderId="0" applyNumberFormat="0" applyBorder="0" applyAlignment="0" applyProtection="0"/>
    <xf numFmtId="0" fontId="46" fillId="42" borderId="0" applyNumberFormat="0" applyBorder="0" applyAlignment="0" applyProtection="0"/>
    <xf numFmtId="0" fontId="41" fillId="25" borderId="0" applyNumberFormat="0" applyBorder="0" applyAlignment="0" applyProtection="0"/>
    <xf numFmtId="0" fontId="45" fillId="36" borderId="0" applyNumberFormat="0" applyBorder="0" applyAlignment="0" applyProtection="0"/>
    <xf numFmtId="0" fontId="17" fillId="19"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1" fillId="29" borderId="0" applyNumberFormat="0" applyBorder="0" applyAlignment="0" applyProtection="0"/>
    <xf numFmtId="0" fontId="46" fillId="46" borderId="0" applyNumberFormat="0" applyBorder="0" applyAlignment="0" applyProtection="0"/>
    <xf numFmtId="0" fontId="41" fillId="33" borderId="0" applyNumberFormat="0" applyBorder="0" applyAlignment="0" applyProtection="0"/>
    <xf numFmtId="0" fontId="46" fillId="47" borderId="0" applyNumberFormat="0" applyBorder="0" applyAlignment="0" applyProtection="0"/>
    <xf numFmtId="0" fontId="41" fillId="10" borderId="0" applyNumberFormat="0" applyBorder="0" applyAlignment="0" applyProtection="0"/>
    <xf numFmtId="0" fontId="46" fillId="48" borderId="0" applyNumberFormat="0" applyBorder="0" applyAlignment="0" applyProtection="0"/>
    <xf numFmtId="0" fontId="41" fillId="14" borderId="0" applyNumberFormat="0" applyBorder="0" applyAlignment="0" applyProtection="0"/>
    <xf numFmtId="0" fontId="46" fillId="49" borderId="0" applyNumberFormat="0" applyBorder="0" applyAlignment="0" applyProtection="0"/>
    <xf numFmtId="0" fontId="41" fillId="18" borderId="0" applyNumberFormat="0" applyBorder="0" applyAlignment="0" applyProtection="0"/>
    <xf numFmtId="0" fontId="46" fillId="50" borderId="0" applyNumberFormat="0" applyBorder="0" applyAlignment="0" applyProtection="0"/>
    <xf numFmtId="0" fontId="41" fillId="22" borderId="0" applyNumberFormat="0" applyBorder="0" applyAlignment="0" applyProtection="0"/>
    <xf numFmtId="0" fontId="46" fillId="45" borderId="0" applyNumberFormat="0" applyBorder="0" applyAlignment="0" applyProtection="0"/>
    <xf numFmtId="0" fontId="41" fillId="26" borderId="0" applyNumberFormat="0" applyBorder="0" applyAlignment="0" applyProtection="0"/>
    <xf numFmtId="0" fontId="46" fillId="46" borderId="0" applyNumberFormat="0" applyBorder="0" applyAlignment="0" applyProtection="0"/>
    <xf numFmtId="0" fontId="41" fillId="30" borderId="0" applyNumberFormat="0" applyBorder="0" applyAlignment="0" applyProtection="0"/>
    <xf numFmtId="0" fontId="46" fillId="51" borderId="0" applyNumberFormat="0" applyBorder="0" applyAlignment="0" applyProtection="0"/>
    <xf numFmtId="0" fontId="19" fillId="4" borderId="0" applyNumberFormat="0" applyBorder="0" applyAlignment="0" applyProtection="0"/>
    <xf numFmtId="0" fontId="47" fillId="35" borderId="0" applyNumberFormat="0" applyBorder="0" applyAlignment="0" applyProtection="0"/>
    <xf numFmtId="0" fontId="36" fillId="7" borderId="16" applyNumberFormat="0" applyAlignment="0" applyProtection="0"/>
    <xf numFmtId="0" fontId="48" fillId="52" borderId="22" applyNumberFormat="0" applyAlignment="0" applyProtection="0"/>
    <xf numFmtId="0" fontId="38" fillId="8" borderId="19" applyNumberFormat="0" applyAlignment="0" applyProtection="0"/>
    <xf numFmtId="0" fontId="49" fillId="53" borderId="23" applyNumberFormat="0" applyAlignment="0" applyProtection="0"/>
    <xf numFmtId="43" fontId="43" fillId="0" borderId="0" applyFont="0" applyFill="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18" fillId="3" borderId="0" applyNumberFormat="0" applyBorder="0" applyAlignment="0" applyProtection="0"/>
    <xf numFmtId="0" fontId="51" fillId="36" borderId="0" applyNumberFormat="0" applyBorder="0" applyAlignment="0" applyProtection="0"/>
    <xf numFmtId="0" fontId="30" fillId="0" borderId="13" applyNumberFormat="0" applyFill="0" applyAlignment="0" applyProtection="0"/>
    <xf numFmtId="0" fontId="52" fillId="0" borderId="24" applyNumberFormat="0" applyFill="0" applyAlignment="0" applyProtection="0"/>
    <xf numFmtId="0" fontId="31" fillId="0" borderId="14" applyNumberFormat="0" applyFill="0" applyAlignment="0" applyProtection="0"/>
    <xf numFmtId="0" fontId="53" fillId="0" borderId="25" applyNumberFormat="0" applyFill="0" applyAlignment="0" applyProtection="0"/>
    <xf numFmtId="0" fontId="32" fillId="0" borderId="15" applyNumberFormat="0" applyFill="0" applyAlignment="0" applyProtection="0"/>
    <xf numFmtId="0" fontId="54" fillId="0" borderId="26" applyNumberFormat="0" applyFill="0" applyAlignment="0" applyProtection="0"/>
    <xf numFmtId="0" fontId="32" fillId="0" borderId="0" applyNumberFormat="0" applyFill="0" applyBorder="0" applyAlignment="0" applyProtection="0"/>
    <xf numFmtId="0" fontId="54" fillId="0" borderId="0" applyNumberFormat="0" applyFill="0" applyBorder="0" applyAlignment="0" applyProtection="0"/>
    <xf numFmtId="0" fontId="34" fillId="6" borderId="16" applyNumberFormat="0" applyAlignment="0" applyProtection="0"/>
    <xf numFmtId="0" fontId="55" fillId="39" borderId="22" applyNumberFormat="0" applyAlignment="0" applyProtection="0"/>
    <xf numFmtId="0" fontId="37" fillId="0" borderId="18" applyNumberFormat="0" applyFill="0" applyAlignment="0" applyProtection="0"/>
    <xf numFmtId="0" fontId="56" fillId="0" borderId="27" applyNumberFormat="0" applyFill="0" applyAlignment="0" applyProtection="0"/>
    <xf numFmtId="0" fontId="57" fillId="54" borderId="0" applyNumberFormat="0" applyBorder="0" applyAlignment="0" applyProtection="0"/>
    <xf numFmtId="0" fontId="43" fillId="0" borderId="0"/>
    <xf numFmtId="0" fontId="17" fillId="0" borderId="0"/>
    <xf numFmtId="0" fontId="42" fillId="0" borderId="0"/>
    <xf numFmtId="0" fontId="17" fillId="9" borderId="20" applyNumberFormat="0" applyFont="0" applyAlignment="0" applyProtection="0"/>
    <xf numFmtId="0" fontId="43" fillId="55" borderId="28" applyNumberFormat="0" applyFont="0" applyAlignment="0" applyProtection="0"/>
    <xf numFmtId="0" fontId="35" fillId="7" borderId="17" applyNumberFormat="0" applyAlignment="0" applyProtection="0"/>
    <xf numFmtId="0" fontId="44" fillId="52" borderId="29" applyNumberFormat="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10" fillId="0" borderId="21" applyNumberFormat="0" applyFill="0" applyAlignment="0" applyProtection="0"/>
    <xf numFmtId="0" fontId="59" fillId="0" borderId="30" applyNumberFormat="0" applyFill="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17" fillId="0" borderId="0"/>
    <xf numFmtId="43" fontId="17" fillId="0" borderId="0" applyFont="0" applyFill="0" applyBorder="0" applyAlignment="0" applyProtection="0"/>
    <xf numFmtId="0" fontId="17" fillId="9" borderId="20"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31"/>
    <xf numFmtId="0" fontId="61" fillId="0" borderId="0" applyNumberFormat="0" applyFill="0" applyBorder="0" applyAlignment="0" applyProtection="0">
      <alignment vertical="top"/>
      <protection locked="0"/>
    </xf>
    <xf numFmtId="0" fontId="62" fillId="26" borderId="0" applyNumberFormat="0" applyBorder="0" applyAlignment="0" applyProtection="0"/>
    <xf numFmtId="0" fontId="17" fillId="0" borderId="31"/>
    <xf numFmtId="0" fontId="17" fillId="0" borderId="31"/>
    <xf numFmtId="0" fontId="17" fillId="0" borderId="31"/>
    <xf numFmtId="0" fontId="17" fillId="0" borderId="31"/>
    <xf numFmtId="0" fontId="17" fillId="0" borderId="31"/>
    <xf numFmtId="0" fontId="17" fillId="0" borderId="31"/>
    <xf numFmtId="0" fontId="17" fillId="0" borderId="31"/>
    <xf numFmtId="0" fontId="17" fillId="0" borderId="31"/>
    <xf numFmtId="0" fontId="17" fillId="0" borderId="31"/>
    <xf numFmtId="0" fontId="17" fillId="0" borderId="31"/>
    <xf numFmtId="0" fontId="17" fillId="28" borderId="0" applyNumberFormat="0" applyBorder="0" applyAlignment="0" applyProtection="0"/>
    <xf numFmtId="0" fontId="17" fillId="15" borderId="0" applyNumberFormat="0" applyBorder="0" applyAlignment="0" applyProtection="0"/>
    <xf numFmtId="0" fontId="17" fillId="24" borderId="0" applyNumberFormat="0" applyBorder="0" applyAlignment="0" applyProtection="0"/>
    <xf numFmtId="0" fontId="17" fillId="0" borderId="0"/>
    <xf numFmtId="0" fontId="17" fillId="23"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7" fillId="0" borderId="0"/>
    <xf numFmtId="0" fontId="17" fillId="20" borderId="0" applyNumberFormat="0" applyBorder="0" applyAlignment="0" applyProtection="0"/>
    <xf numFmtId="0" fontId="17" fillId="9" borderId="20" applyNumberFormat="0" applyFont="0" applyAlignment="0" applyProtection="0"/>
    <xf numFmtId="0" fontId="17" fillId="32" borderId="0" applyNumberFormat="0" applyBorder="0" applyAlignment="0" applyProtection="0"/>
    <xf numFmtId="0" fontId="17" fillId="0" borderId="0"/>
    <xf numFmtId="0" fontId="17" fillId="16"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0" borderId="0"/>
    <xf numFmtId="0" fontId="17" fillId="9" borderId="20" applyNumberFormat="0" applyFont="0" applyAlignment="0" applyProtection="0"/>
    <xf numFmtId="0" fontId="42" fillId="0" borderId="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7"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6" fillId="44"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51" borderId="0" applyNumberFormat="0" applyBorder="0" applyAlignment="0" applyProtection="0"/>
    <xf numFmtId="0" fontId="47" fillId="35" borderId="0" applyNumberFormat="0" applyBorder="0" applyAlignment="0" applyProtection="0"/>
    <xf numFmtId="0" fontId="48" fillId="52" borderId="22" applyNumberFormat="0" applyAlignment="0" applyProtection="0"/>
    <xf numFmtId="0" fontId="49" fillId="53" borderId="23"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39" borderId="22" applyNumberFormat="0" applyAlignment="0" applyProtection="0"/>
    <xf numFmtId="0" fontId="56" fillId="0" borderId="27" applyNumberFormat="0" applyFill="0" applyAlignment="0" applyProtection="0"/>
    <xf numFmtId="0" fontId="57" fillId="54" borderId="0" applyNumberFormat="0" applyBorder="0" applyAlignment="0" applyProtection="0"/>
    <xf numFmtId="0" fontId="43" fillId="55" borderId="28" applyNumberFormat="0" applyFont="0" applyAlignment="0" applyProtection="0"/>
    <xf numFmtId="0" fontId="44" fillId="52" borderId="29" applyNumberFormat="0" applyAlignment="0" applyProtection="0"/>
    <xf numFmtId="0" fontId="58" fillId="0" borderId="0" applyNumberFormat="0" applyFill="0" applyBorder="0" applyAlignment="0" applyProtection="0"/>
    <xf numFmtId="0" fontId="59" fillId="0" borderId="30" applyNumberFormat="0" applyFill="0" applyAlignment="0" applyProtection="0"/>
    <xf numFmtId="0" fontId="60"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7" fillId="0" borderId="0"/>
    <xf numFmtId="0" fontId="42" fillId="0" borderId="0"/>
    <xf numFmtId="0" fontId="17" fillId="0" borderId="0"/>
    <xf numFmtId="0" fontId="42" fillId="0" borderId="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7"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6" fillId="44"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51" borderId="0" applyNumberFormat="0" applyBorder="0" applyAlignment="0" applyProtection="0"/>
    <xf numFmtId="0" fontId="47" fillId="35" borderId="0" applyNumberFormat="0" applyBorder="0" applyAlignment="0" applyProtection="0"/>
    <xf numFmtId="0" fontId="48" fillId="52" borderId="22" applyNumberFormat="0" applyAlignment="0" applyProtection="0"/>
    <xf numFmtId="0" fontId="49" fillId="53" borderId="23"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39" borderId="22" applyNumberFormat="0" applyAlignment="0" applyProtection="0"/>
    <xf numFmtId="0" fontId="56" fillId="0" borderId="27" applyNumberFormat="0" applyFill="0" applyAlignment="0" applyProtection="0"/>
    <xf numFmtId="0" fontId="57" fillId="54" borderId="0" applyNumberFormat="0" applyBorder="0" applyAlignment="0" applyProtection="0"/>
    <xf numFmtId="0" fontId="43" fillId="55" borderId="28" applyNumberFormat="0" applyFont="0" applyAlignment="0" applyProtection="0"/>
    <xf numFmtId="0" fontId="44" fillId="52" borderId="29" applyNumberFormat="0" applyAlignment="0" applyProtection="0"/>
    <xf numFmtId="0" fontId="58" fillId="0" borderId="0" applyNumberFormat="0" applyFill="0" applyBorder="0" applyAlignment="0" applyProtection="0"/>
    <xf numFmtId="0" fontId="59" fillId="0" borderId="30" applyNumberFormat="0" applyFill="0" applyAlignment="0" applyProtection="0"/>
    <xf numFmtId="0" fontId="60" fillId="0" borderId="0" applyNumberFormat="0" applyFill="0" applyBorder="0" applyAlignment="0" applyProtection="0"/>
    <xf numFmtId="0" fontId="17" fillId="0" borderId="0"/>
    <xf numFmtId="43" fontId="17"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0" fontId="17" fillId="0" borderId="0"/>
    <xf numFmtId="0" fontId="42" fillId="0" borderId="0"/>
    <xf numFmtId="0" fontId="9" fillId="0" borderId="0"/>
    <xf numFmtId="0" fontId="17" fillId="0" borderId="0"/>
    <xf numFmtId="0" fontId="45" fillId="43" borderId="0" applyNumberFormat="0" applyBorder="0" applyAlignment="0" applyProtection="0"/>
    <xf numFmtId="0" fontId="46" fillId="45" borderId="0" applyNumberFormat="0" applyBorder="0" applyAlignment="0" applyProtection="0"/>
    <xf numFmtId="0" fontId="45" fillId="37" borderId="0" applyNumberFormat="0" applyBorder="0" applyAlignment="0" applyProtection="0"/>
    <xf numFmtId="0" fontId="53" fillId="0" borderId="25" applyNumberFormat="0" applyFill="0" applyAlignment="0" applyProtection="0"/>
    <xf numFmtId="0" fontId="48" fillId="52" borderId="22" applyNumberFormat="0" applyAlignment="0" applyProtection="0"/>
    <xf numFmtId="0" fontId="45" fillId="36" borderId="0" applyNumberFormat="0" applyBorder="0" applyAlignment="0" applyProtection="0"/>
    <xf numFmtId="0" fontId="45" fillId="35" borderId="0" applyNumberFormat="0" applyBorder="0" applyAlignment="0" applyProtection="0"/>
    <xf numFmtId="0" fontId="46" fillId="46" borderId="0" applyNumberFormat="0" applyBorder="0" applyAlignment="0" applyProtection="0"/>
    <xf numFmtId="0" fontId="44" fillId="52" borderId="29" applyNumberFormat="0" applyAlignment="0" applyProtection="0"/>
    <xf numFmtId="0" fontId="52" fillId="0" borderId="24" applyNumberFormat="0" applyFill="0" applyAlignment="0" applyProtection="0"/>
    <xf numFmtId="0" fontId="46" fillId="45" borderId="0" applyNumberFormat="0" applyBorder="0" applyAlignment="0" applyProtection="0"/>
    <xf numFmtId="0" fontId="45" fillId="41" borderId="0" applyNumberFormat="0" applyBorder="0" applyAlignment="0" applyProtection="0"/>
    <xf numFmtId="0" fontId="54" fillId="0" borderId="26" applyNumberFormat="0" applyFill="0" applyAlignment="0" applyProtection="0"/>
    <xf numFmtId="0" fontId="57" fillId="54" borderId="0" applyNumberFormat="0" applyBorder="0" applyAlignment="0" applyProtection="0"/>
    <xf numFmtId="0" fontId="58" fillId="0" borderId="0" applyNumberFormat="0" applyFill="0" applyBorder="0" applyAlignment="0" applyProtection="0"/>
    <xf numFmtId="0" fontId="46" fillId="44" borderId="0" applyNumberFormat="0" applyBorder="0" applyAlignment="0" applyProtection="0"/>
    <xf numFmtId="0" fontId="49" fillId="53" borderId="23" applyNumberFormat="0" applyAlignment="0" applyProtection="0"/>
    <xf numFmtId="0" fontId="45" fillId="34" borderId="0" applyNumberFormat="0" applyBorder="0" applyAlignment="0" applyProtection="0"/>
    <xf numFmtId="0" fontId="60" fillId="0" borderId="0" applyNumberFormat="0" applyFill="0" applyBorder="0" applyAlignment="0" applyProtection="0"/>
    <xf numFmtId="0" fontId="46" fillId="42" borderId="0" applyNumberFormat="0" applyBorder="0" applyAlignment="0" applyProtection="0"/>
    <xf numFmtId="0" fontId="51" fillId="36" borderId="0" applyNumberFormat="0" applyBorder="0" applyAlignment="0" applyProtection="0"/>
    <xf numFmtId="0" fontId="59" fillId="0" borderId="30" applyNumberFormat="0" applyFill="0" applyAlignment="0" applyProtection="0"/>
    <xf numFmtId="0" fontId="50" fillId="0" borderId="0" applyNumberFormat="0" applyFill="0" applyBorder="0" applyAlignment="0" applyProtection="0"/>
    <xf numFmtId="0" fontId="46" fillId="41" borderId="0" applyNumberFormat="0" applyBorder="0" applyAlignment="0" applyProtection="0"/>
    <xf numFmtId="0" fontId="45" fillId="42" borderId="0" applyNumberFormat="0" applyBorder="0" applyAlignment="0" applyProtection="0"/>
    <xf numFmtId="9" fontId="17" fillId="0" borderId="0" applyFont="0" applyFill="0" applyBorder="0" applyAlignment="0" applyProtection="0"/>
    <xf numFmtId="0" fontId="46" fillId="46" borderId="0" applyNumberFormat="0" applyBorder="0" applyAlignment="0" applyProtection="0"/>
    <xf numFmtId="0" fontId="43" fillId="55" borderId="28" applyNumberFormat="0" applyFont="0" applyAlignment="0" applyProtection="0"/>
    <xf numFmtId="0" fontId="45" fillId="40" borderId="0" applyNumberFormat="0" applyBorder="0" applyAlignment="0" applyProtection="0"/>
    <xf numFmtId="0" fontId="47" fillId="35" borderId="0" applyNumberFormat="0" applyBorder="0" applyAlignment="0" applyProtection="0"/>
    <xf numFmtId="0" fontId="46" fillId="51" borderId="0" applyNumberFormat="0" applyBorder="0" applyAlignment="0" applyProtection="0"/>
    <xf numFmtId="0" fontId="45" fillId="37" borderId="0" applyNumberFormat="0" applyBorder="0" applyAlignment="0" applyProtection="0"/>
    <xf numFmtId="0" fontId="46" fillId="47" borderId="0" applyNumberFormat="0" applyBorder="0" applyAlignment="0" applyProtection="0"/>
    <xf numFmtId="0" fontId="54" fillId="0" borderId="0" applyNumberFormat="0" applyFill="0" applyBorder="0" applyAlignment="0" applyProtection="0"/>
    <xf numFmtId="0" fontId="45" fillId="38" borderId="0" applyNumberFormat="0" applyBorder="0" applyAlignment="0" applyProtection="0"/>
    <xf numFmtId="0" fontId="46" fillId="48" borderId="0" applyNumberFormat="0" applyBorder="0" applyAlignment="0" applyProtection="0"/>
    <xf numFmtId="0" fontId="56" fillId="0" borderId="27" applyNumberFormat="0" applyFill="0" applyAlignment="0" applyProtection="0"/>
    <xf numFmtId="0" fontId="45" fillId="40" borderId="0" applyNumberFormat="0" applyBorder="0" applyAlignment="0" applyProtection="0"/>
    <xf numFmtId="0" fontId="46" fillId="50" borderId="0" applyNumberFormat="0" applyBorder="0" applyAlignment="0" applyProtection="0"/>
    <xf numFmtId="0" fontId="55" fillId="39" borderId="22" applyNumberFormat="0" applyAlignment="0" applyProtection="0"/>
    <xf numFmtId="0" fontId="46" fillId="49" borderId="0" applyNumberFormat="0" applyBorder="0" applyAlignment="0" applyProtection="0"/>
    <xf numFmtId="0" fontId="45" fillId="39" borderId="0" applyNumberFormat="0" applyBorder="0" applyAlignment="0" applyProtection="0"/>
    <xf numFmtId="43" fontId="17" fillId="0" borderId="0" applyFont="0" applyFill="0" applyBorder="0" applyAlignment="0" applyProtection="0"/>
    <xf numFmtId="43" fontId="12" fillId="0" borderId="0" applyFont="0" applyFill="0" applyBorder="0" applyAlignment="0" applyProtection="0"/>
    <xf numFmtId="0" fontId="8" fillId="0" borderId="0"/>
    <xf numFmtId="0" fontId="7" fillId="0" borderId="0"/>
    <xf numFmtId="0" fontId="6" fillId="0" borderId="0"/>
    <xf numFmtId="0" fontId="5" fillId="0" borderId="0"/>
    <xf numFmtId="0" fontId="43" fillId="0" borderId="0"/>
    <xf numFmtId="0" fontId="42" fillId="0" borderId="0"/>
    <xf numFmtId="0" fontId="42" fillId="0" borderId="0"/>
    <xf numFmtId="0" fontId="42" fillId="0" borderId="0"/>
    <xf numFmtId="0" fontId="4" fillId="0" borderId="0"/>
    <xf numFmtId="0" fontId="46" fillId="59" borderId="0" applyNumberFormat="0" applyBorder="0" applyAlignment="0" applyProtection="0"/>
    <xf numFmtId="0" fontId="43" fillId="0" borderId="0"/>
    <xf numFmtId="0" fontId="3" fillId="0" borderId="0"/>
    <xf numFmtId="0" fontId="2" fillId="0" borderId="0"/>
    <xf numFmtId="0" fontId="17" fillId="0" borderId="0"/>
    <xf numFmtId="0" fontId="2"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582">
    <xf numFmtId="0" fontId="0" fillId="0" borderId="0" xfId="0"/>
    <xf numFmtId="0" fontId="0" fillId="0" borderId="0" xfId="0" applyAlignment="1">
      <alignment horizontal="center"/>
    </xf>
    <xf numFmtId="0" fontId="0" fillId="0" borderId="0" xfId="0" applyFill="1" applyAlignment="1">
      <alignment horizontal="center"/>
    </xf>
    <xf numFmtId="11" fontId="0" fillId="0" borderId="0" xfId="0" applyNumberFormat="1" applyFill="1" applyAlignment="1">
      <alignment horizontal="center"/>
    </xf>
    <xf numFmtId="164" fontId="0" fillId="0" borderId="0" xfId="0" applyNumberFormat="1" applyAlignment="1">
      <alignment horizontal="center"/>
    </xf>
    <xf numFmtId="11" fontId="0" fillId="0" borderId="0" xfId="0" applyNumberFormat="1" applyAlignment="1">
      <alignment horizontal="center"/>
    </xf>
    <xf numFmtId="0" fontId="10" fillId="2" borderId="0" xfId="0" applyFont="1" applyFill="1" applyBorder="1" applyAlignment="1">
      <alignment horizontal="center"/>
    </xf>
    <xf numFmtId="0" fontId="0" fillId="0" borderId="1" xfId="0" applyFill="1" applyBorder="1" applyAlignment="1">
      <alignment horizontal="center"/>
    </xf>
    <xf numFmtId="11" fontId="0" fillId="2" borderId="0" xfId="0" applyNumberFormat="1" applyFill="1" applyBorder="1" applyAlignment="1">
      <alignment horizontal="center"/>
    </xf>
    <xf numFmtId="11" fontId="0" fillId="2" borderId="0" xfId="0" applyNumberFormat="1" applyFill="1" applyAlignment="1">
      <alignment horizontal="center"/>
    </xf>
    <xf numFmtId="0" fontId="0" fillId="0" borderId="2" xfId="0" applyFill="1" applyBorder="1" applyAlignment="1">
      <alignment horizontal="center"/>
    </xf>
    <xf numFmtId="0" fontId="0" fillId="0" borderId="0" xfId="0" applyBorder="1"/>
    <xf numFmtId="164" fontId="11" fillId="0" borderId="0" xfId="1" applyNumberFormat="1" applyAlignment="1">
      <alignment horizontal="center"/>
    </xf>
    <xf numFmtId="11" fontId="0" fillId="0" borderId="2" xfId="0" applyNumberFormat="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1" fontId="0" fillId="0" borderId="0" xfId="0" applyNumberFormat="1" applyBorder="1" applyAlignment="1">
      <alignment horizontal="center"/>
    </xf>
    <xf numFmtId="164" fontId="0" fillId="0" borderId="0" xfId="0" applyNumberFormat="1" applyFill="1" applyAlignment="1">
      <alignment horizontal="center"/>
    </xf>
    <xf numFmtId="11" fontId="0" fillId="0" borderId="0" xfId="0" applyNumberForma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Fill="1" applyBorder="1" applyAlignment="1">
      <alignment horizontal="center"/>
    </xf>
    <xf numFmtId="11" fontId="0" fillId="2" borderId="4" xfId="0" applyNumberFormat="1" applyFill="1" applyBorder="1" applyAlignment="1">
      <alignment horizontal="center"/>
    </xf>
    <xf numFmtId="0" fontId="0" fillId="0" borderId="3" xfId="0" applyFill="1" applyBorder="1" applyAlignment="1">
      <alignment horizontal="center"/>
    </xf>
    <xf numFmtId="11" fontId="0" fillId="0" borderId="4" xfId="0" applyNumberFormat="1" applyFill="1" applyBorder="1" applyAlignment="1">
      <alignment horizontal="center"/>
    </xf>
    <xf numFmtId="0" fontId="0" fillId="0" borderId="3" xfId="0" applyBorder="1" applyAlignment="1">
      <alignment horizontal="center"/>
    </xf>
    <xf numFmtId="11" fontId="0" fillId="0" borderId="5" xfId="0" applyNumberFormat="1" applyBorder="1" applyAlignment="1">
      <alignment horizontal="center"/>
    </xf>
    <xf numFmtId="11" fontId="0" fillId="0" borderId="4" xfId="0" applyNumberFormat="1" applyBorder="1" applyAlignment="1">
      <alignment horizontal="center"/>
    </xf>
    <xf numFmtId="0" fontId="10" fillId="0" borderId="0" xfId="0" applyFont="1"/>
    <xf numFmtId="164" fontId="0" fillId="0" borderId="0" xfId="0" applyNumberFormat="1" applyBorder="1" applyAlignment="1">
      <alignment horizontal="center"/>
    </xf>
    <xf numFmtId="164" fontId="0" fillId="0" borderId="4" xfId="0" applyNumberFormat="1" applyBorder="1" applyAlignment="1">
      <alignment horizontal="center"/>
    </xf>
    <xf numFmtId="0" fontId="0" fillId="0" borderId="5" xfId="0" applyFill="1" applyBorder="1" applyAlignment="1">
      <alignment horizontal="center"/>
    </xf>
    <xf numFmtId="0" fontId="10" fillId="0" borderId="0" xfId="0" applyFont="1" applyAlignment="1">
      <alignment horizontal="left"/>
    </xf>
    <xf numFmtId="0" fontId="14" fillId="0" borderId="0" xfId="0" applyFont="1" applyFill="1" applyAlignment="1">
      <alignment horizontal="left"/>
    </xf>
    <xf numFmtId="0" fontId="0" fillId="0" borderId="0" xfId="0" applyFill="1" applyAlignment="1">
      <alignment horizontal="left"/>
    </xf>
    <xf numFmtId="0" fontId="15"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Alignment="1">
      <alignment horizontal="center"/>
    </xf>
    <xf numFmtId="0" fontId="16" fillId="0" borderId="0" xfId="0" applyFont="1" applyBorder="1" applyAlignment="1">
      <alignment horizontal="center"/>
    </xf>
    <xf numFmtId="0" fontId="15" fillId="0" borderId="0" xfId="0" applyFont="1" applyBorder="1" applyAlignment="1">
      <alignment horizontal="center"/>
    </xf>
    <xf numFmtId="0" fontId="15" fillId="0" borderId="4"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164" fontId="0" fillId="0" borderId="2"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Fill="1" applyBorder="1" applyAlignment="1">
      <alignment horizontal="center"/>
    </xf>
    <xf numFmtId="165" fontId="0" fillId="0" borderId="0" xfId="0" applyNumberFormat="1" applyAlignment="1">
      <alignment horizontal="center"/>
    </xf>
    <xf numFmtId="164" fontId="0" fillId="0" borderId="4" xfId="0" applyNumberFormat="1" applyFill="1" applyBorder="1" applyAlignment="1">
      <alignment horizontal="center"/>
    </xf>
    <xf numFmtId="0" fontId="10" fillId="0" borderId="8" xfId="0" applyFont="1" applyFill="1" applyBorder="1" applyAlignment="1">
      <alignment horizontal="center"/>
    </xf>
    <xf numFmtId="0" fontId="0" fillId="0" borderId="0" xfId="0" applyAlignment="1">
      <alignment horizontal="center" vertical="center"/>
    </xf>
    <xf numFmtId="3" fontId="0" fillId="0" borderId="1" xfId="0" applyNumberFormat="1" applyBorder="1" applyAlignment="1">
      <alignment horizontal="center"/>
    </xf>
    <xf numFmtId="165" fontId="0" fillId="0" borderId="0" xfId="0" applyNumberFormat="1" applyBorder="1" applyAlignment="1">
      <alignment horizontal="center"/>
    </xf>
    <xf numFmtId="3" fontId="0" fillId="0" borderId="3" xfId="0" applyNumberFormat="1" applyBorder="1" applyAlignment="1">
      <alignment horizontal="center"/>
    </xf>
    <xf numFmtId="165" fontId="0" fillId="0" borderId="4" xfId="0" applyNumberFormat="1" applyBorder="1" applyAlignment="1">
      <alignment horizontal="center"/>
    </xf>
    <xf numFmtId="3" fontId="0" fillId="0" borderId="0" xfId="0" applyNumberFormat="1" applyBorder="1" applyAlignment="1">
      <alignment horizontal="center"/>
    </xf>
    <xf numFmtId="3" fontId="0" fillId="0" borderId="4" xfId="0" applyNumberFormat="1" applyBorder="1" applyAlignment="1">
      <alignment horizontal="center"/>
    </xf>
    <xf numFmtId="0" fontId="0" fillId="0" borderId="0" xfId="0" applyFont="1" applyAlignment="1">
      <alignment horizontal="center"/>
    </xf>
    <xf numFmtId="0" fontId="28" fillId="0" borderId="0" xfId="0" applyFont="1" applyFill="1"/>
    <xf numFmtId="0" fontId="14" fillId="0" borderId="0" xfId="472" applyFont="1" applyFill="1" applyAlignment="1">
      <alignment horizontal="left" vertical="center"/>
    </xf>
    <xf numFmtId="0" fontId="14" fillId="0" borderId="0" xfId="0" applyFont="1" applyFill="1" applyAlignment="1">
      <alignment horizontal="left" vertical="center"/>
    </xf>
    <xf numFmtId="0" fontId="15" fillId="0" borderId="0" xfId="0" applyFont="1" applyFill="1" applyAlignment="1">
      <alignment horizontal="center" vertical="center"/>
    </xf>
    <xf numFmtId="3" fontId="0" fillId="0" borderId="1" xfId="0" applyNumberFormat="1" applyFill="1" applyBorder="1" applyAlignment="1">
      <alignment horizontal="center"/>
    </xf>
    <xf numFmtId="0" fontId="14" fillId="0" borderId="0" xfId="472" applyFont="1" applyFill="1" applyAlignment="1" applyProtection="1">
      <alignment horizontal="left" vertical="center"/>
      <protection locked="0"/>
    </xf>
    <xf numFmtId="0" fontId="15" fillId="0" borderId="0" xfId="472" applyFont="1" applyFill="1" applyAlignment="1" applyProtection="1">
      <alignment horizontal="left" vertical="center" wrapText="1"/>
      <protection locked="0"/>
    </xf>
    <xf numFmtId="0" fontId="15" fillId="0" borderId="0" xfId="472" applyFont="1" applyFill="1" applyAlignment="1" applyProtection="1">
      <alignment horizontal="left" vertical="top" wrapText="1"/>
      <protection locked="0"/>
    </xf>
    <xf numFmtId="0" fontId="21" fillId="0" borderId="0" xfId="476" applyFont="1" applyFill="1" applyBorder="1" applyAlignment="1">
      <alignment horizontal="left" vertical="center"/>
    </xf>
    <xf numFmtId="0" fontId="21" fillId="0" borderId="0" xfId="476" applyFont="1" applyFill="1" applyBorder="1" applyAlignment="1">
      <alignment horizontal="center" vertical="center" wrapText="1"/>
    </xf>
    <xf numFmtId="0" fontId="21" fillId="0" borderId="0" xfId="476" applyFont="1" applyFill="1" applyBorder="1" applyAlignment="1">
      <alignment horizontal="center" vertical="center"/>
    </xf>
    <xf numFmtId="0" fontId="21" fillId="0" borderId="0" xfId="476" applyFont="1" applyFill="1" applyBorder="1" applyAlignment="1">
      <alignment horizontal="left" vertical="center" wrapText="1"/>
    </xf>
    <xf numFmtId="0" fontId="20" fillId="0" borderId="0" xfId="476" applyFont="1" applyFill="1" applyBorder="1" applyAlignment="1">
      <alignment horizontal="left" vertical="center"/>
    </xf>
    <xf numFmtId="0" fontId="21" fillId="0" borderId="0" xfId="331" applyFont="1"/>
    <xf numFmtId="0" fontId="21" fillId="0" borderId="0" xfId="407" applyFont="1" applyFill="1" applyBorder="1" applyAlignment="1">
      <alignment vertical="center" wrapText="1"/>
    </xf>
    <xf numFmtId="49" fontId="21" fillId="0" borderId="0" xfId="476" applyNumberFormat="1" applyFont="1" applyFill="1" applyBorder="1" applyAlignment="1">
      <alignment horizontal="center" vertical="center" wrapText="1"/>
    </xf>
    <xf numFmtId="0" fontId="66" fillId="0" borderId="0" xfId="476" applyFont="1" applyFill="1" applyBorder="1" applyAlignment="1">
      <alignment horizontal="center" vertical="center" wrapText="1"/>
    </xf>
    <xf numFmtId="0" fontId="21" fillId="0" borderId="0" xfId="407" applyFont="1" applyFill="1" applyBorder="1" applyAlignment="1">
      <alignment horizontal="center" vertical="center" wrapText="1"/>
    </xf>
    <xf numFmtId="0" fontId="70" fillId="0" borderId="0" xfId="331" applyFont="1" applyFill="1" applyAlignment="1">
      <alignment horizontal="left" vertical="center" wrapText="1"/>
    </xf>
    <xf numFmtId="0" fontId="21" fillId="0" borderId="0" xfId="331" applyFont="1" applyFill="1" applyBorder="1" applyAlignment="1">
      <alignment vertical="center" wrapText="1"/>
    </xf>
    <xf numFmtId="0" fontId="17" fillId="0" borderId="0" xfId="375" applyFont="1" applyBorder="1" applyAlignment="1">
      <alignment horizontal="center" wrapText="1"/>
    </xf>
    <xf numFmtId="3" fontId="17" fillId="0" borderId="0" xfId="375" applyNumberFormat="1" applyFont="1" applyBorder="1" applyAlignment="1">
      <alignment horizontal="center" wrapText="1"/>
    </xf>
    <xf numFmtId="9" fontId="21" fillId="0" borderId="0" xfId="476" applyNumberFormat="1" applyFont="1" applyFill="1" applyBorder="1" applyAlignment="1">
      <alignment horizontal="center" vertical="center" wrapText="1"/>
    </xf>
    <xf numFmtId="0" fontId="17" fillId="0" borderId="0" xfId="476" applyFont="1" applyFill="1" applyBorder="1" applyAlignment="1">
      <alignment horizontal="center" vertical="center" wrapText="1"/>
    </xf>
    <xf numFmtId="9" fontId="17" fillId="0" borderId="0" xfId="476" applyNumberFormat="1" applyFont="1" applyFill="1" applyBorder="1" applyAlignment="1">
      <alignment horizontal="center" vertical="center" wrapText="1"/>
    </xf>
    <xf numFmtId="0" fontId="21" fillId="0" borderId="0" xfId="477" applyFont="1" applyBorder="1" applyAlignment="1">
      <alignment horizontal="center" wrapText="1"/>
    </xf>
    <xf numFmtId="0" fontId="21" fillId="0" borderId="4" xfId="476" applyFont="1" applyFill="1" applyBorder="1" applyAlignment="1">
      <alignment horizontal="center" vertical="center" wrapText="1"/>
    </xf>
    <xf numFmtId="0" fontId="21" fillId="0" borderId="0" xfId="476" applyFont="1" applyFill="1" applyBorder="1" applyAlignment="1">
      <alignment horizontal="center" vertical="top" wrapText="1"/>
    </xf>
    <xf numFmtId="0" fontId="20" fillId="0" borderId="0" xfId="478" applyFont="1" applyFill="1" applyBorder="1" applyAlignment="1">
      <alignment horizontal="left"/>
    </xf>
    <xf numFmtId="0" fontId="68" fillId="0" borderId="0" xfId="478" applyFont="1" applyFill="1"/>
    <xf numFmtId="0" fontId="21" fillId="0" borderId="0" xfId="478" quotePrefix="1" applyNumberFormat="1" applyFont="1" applyFill="1" applyBorder="1"/>
    <xf numFmtId="0" fontId="21" fillId="0" borderId="0" xfId="478" quotePrefix="1" applyNumberFormat="1" applyFont="1" applyFill="1" applyBorder="1" applyAlignment="1">
      <alignment horizontal="center"/>
    </xf>
    <xf numFmtId="0" fontId="21" fillId="0" borderId="4" xfId="478" quotePrefix="1" applyNumberFormat="1" applyFont="1" applyFill="1" applyBorder="1"/>
    <xf numFmtId="0" fontId="21" fillId="0" borderId="4" xfId="478" quotePrefix="1" applyNumberFormat="1" applyFont="1" applyFill="1" applyBorder="1" applyAlignment="1">
      <alignment horizontal="center"/>
    </xf>
    <xf numFmtId="0" fontId="68" fillId="0" borderId="0" xfId="478" quotePrefix="1" applyNumberFormat="1" applyFont="1" applyFill="1" applyBorder="1"/>
    <xf numFmtId="0" fontId="68" fillId="0" borderId="0" xfId="478" quotePrefix="1" applyNumberFormat="1" applyFont="1" applyFill="1" applyBorder="1" applyAlignment="1">
      <alignment horizontal="center"/>
    </xf>
    <xf numFmtId="0" fontId="68" fillId="0" borderId="4" xfId="478" quotePrefix="1" applyNumberFormat="1" applyFont="1" applyFill="1" applyBorder="1"/>
    <xf numFmtId="0" fontId="68" fillId="0" borderId="4" xfId="478" quotePrefix="1" applyNumberFormat="1" applyFont="1" applyFill="1" applyBorder="1" applyAlignment="1">
      <alignment horizontal="center"/>
    </xf>
    <xf numFmtId="0" fontId="68" fillId="0" borderId="0" xfId="478" applyFont="1" applyFill="1" applyBorder="1"/>
    <xf numFmtId="2" fontId="68" fillId="0" borderId="4" xfId="478" quotePrefix="1" applyNumberFormat="1" applyFont="1" applyFill="1" applyBorder="1" applyAlignment="1">
      <alignment horizontal="center"/>
    </xf>
    <xf numFmtId="2" fontId="68" fillId="0" borderId="5" xfId="478" quotePrefix="1" applyNumberFormat="1" applyFont="1" applyFill="1" applyBorder="1" applyAlignment="1">
      <alignment horizontal="center"/>
    </xf>
    <xf numFmtId="2" fontId="21" fillId="0" borderId="4" xfId="478" quotePrefix="1" applyNumberFormat="1" applyFont="1" applyFill="1" applyBorder="1" applyAlignment="1">
      <alignment horizontal="center"/>
    </xf>
    <xf numFmtId="2" fontId="21" fillId="0" borderId="5" xfId="478" quotePrefix="1" applyNumberFormat="1" applyFont="1" applyFill="1" applyBorder="1" applyAlignment="1">
      <alignment horizontal="center"/>
    </xf>
    <xf numFmtId="0" fontId="76" fillId="0" borderId="0" xfId="478" quotePrefix="1" applyNumberFormat="1" applyFont="1" applyFill="1" applyBorder="1"/>
    <xf numFmtId="0" fontId="76" fillId="0" borderId="4" xfId="478" quotePrefix="1" applyNumberFormat="1" applyFont="1" applyFill="1" applyBorder="1"/>
    <xf numFmtId="0" fontId="42" fillId="0" borderId="0" xfId="331" applyFill="1"/>
    <xf numFmtId="3" fontId="0" fillId="0" borderId="0" xfId="0" applyNumberFormat="1"/>
    <xf numFmtId="3" fontId="0" fillId="0" borderId="1" xfId="0" applyNumberFormat="1" applyBorder="1"/>
    <xf numFmtId="0" fontId="17" fillId="0" borderId="0" xfId="472" applyFont="1" applyFill="1" applyAlignment="1" applyProtection="1">
      <alignment horizontal="left" vertical="center"/>
      <protection locked="0"/>
    </xf>
    <xf numFmtId="0" fontId="0" fillId="0" borderId="0" xfId="472" applyFont="1" applyFill="1" applyAlignment="1" applyProtection="1">
      <alignment horizontal="left" vertical="center"/>
      <protection locked="0"/>
    </xf>
    <xf numFmtId="0" fontId="15" fillId="0" borderId="0" xfId="472" applyFont="1" applyFill="1" applyAlignment="1" applyProtection="1">
      <alignment horizontal="left" vertical="center"/>
      <protection locked="0"/>
    </xf>
    <xf numFmtId="0" fontId="0" fillId="0" borderId="0" xfId="0" applyAlignment="1">
      <alignment horizontal="left"/>
    </xf>
    <xf numFmtId="0" fontId="17" fillId="0" borderId="0" xfId="472" applyFont="1" applyFill="1" applyBorder="1" applyAlignment="1">
      <alignment horizontal="left" vertical="center"/>
    </xf>
    <xf numFmtId="0" fontId="15" fillId="0" borderId="0" xfId="472" applyFont="1" applyFill="1" applyBorder="1" applyAlignment="1">
      <alignment horizontal="left" vertical="center"/>
    </xf>
    <xf numFmtId="0" fontId="17" fillId="0" borderId="0" xfId="0" applyFont="1" applyFill="1" applyAlignment="1">
      <alignment horizontal="left" vertical="center"/>
    </xf>
    <xf numFmtId="0" fontId="15" fillId="0" borderId="0" xfId="0" applyFont="1" applyFill="1" applyAlignment="1">
      <alignment horizontal="left" vertical="center"/>
    </xf>
    <xf numFmtId="0" fontId="21" fillId="0" borderId="0" xfId="0" applyFont="1" applyAlignment="1">
      <alignment horizontal="center"/>
    </xf>
    <xf numFmtId="11" fontId="21" fillId="0" borderId="0" xfId="0" applyNumberFormat="1" applyFont="1" applyAlignment="1">
      <alignment horizontal="center"/>
    </xf>
    <xf numFmtId="0" fontId="21" fillId="0" borderId="0" xfId="0" applyFont="1" applyFill="1"/>
    <xf numFmtId="0" fontId="0" fillId="0" borderId="0" xfId="0" applyFont="1" applyFill="1"/>
    <xf numFmtId="0" fontId="22" fillId="56" borderId="0" xfId="0" applyFont="1" applyFill="1" applyAlignment="1">
      <alignment horizontal="left" vertical="center"/>
    </xf>
    <xf numFmtId="0" fontId="22" fillId="0" borderId="0" xfId="0" applyFont="1" applyFill="1" applyAlignment="1">
      <alignment horizontal="left" vertical="center"/>
    </xf>
    <xf numFmtId="0" fontId="21" fillId="56" borderId="0" xfId="0" applyFont="1" applyFill="1" applyAlignment="1">
      <alignment horizontal="left" vertical="center"/>
    </xf>
    <xf numFmtId="49" fontId="21" fillId="56" borderId="0" xfId="0" applyNumberFormat="1" applyFont="1" applyFill="1" applyAlignment="1">
      <alignment horizontal="left" vertical="center"/>
    </xf>
    <xf numFmtId="0" fontId="21" fillId="0" borderId="0" xfId="0" applyFont="1" applyFill="1" applyAlignment="1">
      <alignment horizontal="left" vertical="center"/>
    </xf>
    <xf numFmtId="0" fontId="22" fillId="56" borderId="0" xfId="0" applyFont="1" applyFill="1" applyAlignment="1">
      <alignment horizontal="left"/>
    </xf>
    <xf numFmtId="0" fontId="21" fillId="56" borderId="0" xfId="0" applyFont="1" applyFill="1" applyAlignment="1">
      <alignment horizontal="left"/>
    </xf>
    <xf numFmtId="49" fontId="21" fillId="0" borderId="0" xfId="0" applyNumberFormat="1" applyFont="1" applyFill="1" applyAlignment="1">
      <alignment horizontal="left" vertical="center"/>
    </xf>
    <xf numFmtId="0" fontId="22" fillId="0" borderId="4" xfId="0" applyFont="1" applyFill="1" applyBorder="1" applyAlignment="1">
      <alignment horizontal="left" vertical="center"/>
    </xf>
    <xf numFmtId="0" fontId="22" fillId="0" borderId="0" xfId="0" applyFont="1" applyFill="1"/>
    <xf numFmtId="0" fontId="20" fillId="0" borderId="0" xfId="0" applyFont="1" applyFill="1"/>
    <xf numFmtId="0" fontId="17" fillId="0" borderId="0" xfId="472" applyFont="1" applyFill="1" applyAlignment="1">
      <alignment horizontal="left" vertical="center"/>
    </xf>
    <xf numFmtId="0" fontId="15" fillId="0" borderId="0" xfId="472" applyFont="1" applyFill="1" applyAlignment="1">
      <alignment horizontal="left" vertical="center"/>
    </xf>
    <xf numFmtId="0" fontId="15" fillId="0" borderId="0" xfId="472" applyFont="1" applyFill="1" applyAlignment="1">
      <alignment horizontal="left" vertical="center" wrapText="1"/>
    </xf>
    <xf numFmtId="0" fontId="17" fillId="0" borderId="0" xfId="472" applyFont="1" applyFill="1" applyAlignment="1">
      <alignment horizontal="left" vertical="center" wrapText="1"/>
    </xf>
    <xf numFmtId="0" fontId="70" fillId="0" borderId="0" xfId="0" applyFont="1" applyFill="1" applyAlignment="1">
      <alignment horizontal="left" vertical="center" wrapText="1"/>
    </xf>
    <xf numFmtId="0" fontId="17" fillId="0" borderId="0" xfId="0" applyFont="1" applyFill="1" applyBorder="1" applyAlignment="1" applyProtection="1">
      <alignment horizontal="left" vertical="center"/>
      <protection locked="0"/>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21" fillId="0" borderId="0" xfId="0" applyFont="1" applyFill="1" applyBorder="1"/>
    <xf numFmtId="0" fontId="0" fillId="0" borderId="0" xfId="0" applyFont="1"/>
    <xf numFmtId="0" fontId="0" fillId="0" borderId="1" xfId="0" applyFont="1" applyFill="1" applyBorder="1" applyAlignment="1">
      <alignment horizontal="center" vertical="center"/>
    </xf>
    <xf numFmtId="11" fontId="0" fillId="0" borderId="0" xfId="0" applyNumberFormat="1" applyFont="1" applyFill="1" applyBorder="1" applyAlignment="1">
      <alignment horizontal="center" vertical="center"/>
    </xf>
    <xf numFmtId="0" fontId="0" fillId="0" borderId="3" xfId="0" applyFont="1" applyFill="1" applyBorder="1" applyAlignment="1">
      <alignment horizontal="center" vertical="center"/>
    </xf>
    <xf numFmtId="11" fontId="0" fillId="0" borderId="4" xfId="0" applyNumberFormat="1" applyFont="1" applyFill="1" applyBorder="1" applyAlignment="1">
      <alignment horizontal="center" vertical="center"/>
    </xf>
    <xf numFmtId="0" fontId="64" fillId="0" borderId="0" xfId="0" applyFont="1" applyFill="1" applyBorder="1" applyAlignment="1">
      <alignment horizontal="center"/>
    </xf>
    <xf numFmtId="165" fontId="64" fillId="0" borderId="0" xfId="0" applyNumberFormat="1" applyFont="1" applyFill="1" applyBorder="1" applyAlignment="1">
      <alignment horizontal="center"/>
    </xf>
    <xf numFmtId="165" fontId="66" fillId="0" borderId="0" xfId="0" applyNumberFormat="1" applyFont="1" applyFill="1" applyBorder="1" applyAlignment="1">
      <alignment horizontal="center"/>
    </xf>
    <xf numFmtId="0" fontId="67" fillId="0" borderId="0" xfId="0" applyFont="1" applyFill="1" applyBorder="1" applyAlignment="1">
      <alignment horizontal="center"/>
    </xf>
    <xf numFmtId="165" fontId="74" fillId="0" borderId="0" xfId="0" applyNumberFormat="1" applyFont="1" applyFill="1" applyBorder="1" applyAlignment="1">
      <alignment horizontal="center"/>
    </xf>
    <xf numFmtId="0" fontId="67" fillId="0" borderId="6" xfId="0" applyFont="1" applyFill="1" applyBorder="1" applyAlignment="1">
      <alignment horizontal="center"/>
    </xf>
    <xf numFmtId="0" fontId="64" fillId="0" borderId="6" xfId="0" applyFont="1" applyFill="1" applyBorder="1" applyAlignment="1">
      <alignment horizontal="center"/>
    </xf>
    <xf numFmtId="165" fontId="64" fillId="0" borderId="6" xfId="0" applyNumberFormat="1" applyFont="1" applyFill="1" applyBorder="1" applyAlignment="1">
      <alignment horizontal="center"/>
    </xf>
    <xf numFmtId="165" fontId="74" fillId="0" borderId="6" xfId="0" applyNumberFormat="1" applyFont="1" applyFill="1" applyBorder="1" applyAlignment="1">
      <alignment horizontal="center"/>
    </xf>
    <xf numFmtId="0" fontId="66" fillId="0" borderId="0" xfId="331" applyFont="1" applyFill="1" applyAlignment="1">
      <alignment horizontal="left" vertical="center" wrapText="1"/>
    </xf>
    <xf numFmtId="0" fontId="66" fillId="0" borderId="0" xfId="331" applyFont="1" applyFill="1" applyAlignment="1">
      <alignment horizontal="left" vertical="center"/>
    </xf>
    <xf numFmtId="0" fontId="66" fillId="0" borderId="0" xfId="331" applyFont="1" applyFill="1" applyAlignment="1">
      <alignment horizontal="left" vertical="top"/>
    </xf>
    <xf numFmtId="0" fontId="66" fillId="0" borderId="0" xfId="331" applyFont="1" applyFill="1" applyAlignment="1">
      <alignment horizontal="left" vertical="top" wrapText="1"/>
    </xf>
    <xf numFmtId="0" fontId="0" fillId="56" borderId="0" xfId="0" applyFill="1" applyAlignment="1">
      <alignment horizontal="center"/>
    </xf>
    <xf numFmtId="0" fontId="10" fillId="56" borderId="0" xfId="0" applyFont="1" applyFill="1" applyBorder="1" applyAlignment="1">
      <alignment horizontal="center" vertical="center" wrapText="1"/>
    </xf>
    <xf numFmtId="11" fontId="0" fillId="56" borderId="0" xfId="0" applyNumberFormat="1" applyFill="1" applyAlignment="1">
      <alignment horizontal="center"/>
    </xf>
    <xf numFmtId="0" fontId="0" fillId="0" borderId="0" xfId="0" applyAlignment="1"/>
    <xf numFmtId="0" fontId="0" fillId="0" borderId="0" xfId="0" applyFont="1" applyBorder="1" applyAlignment="1">
      <alignment horizontal="center"/>
    </xf>
    <xf numFmtId="164" fontId="0" fillId="0" borderId="0" xfId="0" applyNumberFormat="1" applyFont="1" applyBorder="1" applyAlignment="1">
      <alignment horizontal="center"/>
    </xf>
    <xf numFmtId="0" fontId="0" fillId="0" borderId="4" xfId="0" applyFont="1" applyBorder="1" applyAlignment="1">
      <alignment horizontal="center"/>
    </xf>
    <xf numFmtId="0" fontId="21" fillId="0" borderId="0" xfId="476" applyFont="1" applyFill="1" applyBorder="1" applyAlignment="1">
      <alignment horizontal="left" vertical="top"/>
    </xf>
    <xf numFmtId="0" fontId="21" fillId="0" borderId="4" xfId="476" applyFont="1" applyFill="1" applyBorder="1" applyAlignment="1">
      <alignment horizontal="left" vertical="center" wrapText="1"/>
    </xf>
    <xf numFmtId="0" fontId="76" fillId="0" borderId="0" xfId="476" applyFont="1" applyFill="1" applyAlignment="1">
      <alignment horizontal="center" vertical="center" wrapText="1"/>
    </xf>
    <xf numFmtId="9" fontId="76" fillId="0" borderId="0" xfId="476" applyNumberFormat="1" applyFont="1" applyFill="1" applyBorder="1" applyAlignment="1">
      <alignment horizontal="center" vertical="center" wrapText="1"/>
    </xf>
    <xf numFmtId="0" fontId="76" fillId="0" borderId="0" xfId="476" applyFont="1" applyFill="1" applyBorder="1" applyAlignment="1">
      <alignment horizontal="center" vertical="center" wrapText="1"/>
    </xf>
    <xf numFmtId="0" fontId="0" fillId="0" borderId="0" xfId="0" applyFont="1" applyAlignment="1">
      <alignment vertical="center"/>
    </xf>
    <xf numFmtId="0" fontId="21" fillId="0" borderId="0" xfId="0" applyFont="1" applyAlignment="1">
      <alignment vertical="center"/>
    </xf>
    <xf numFmtId="0" fontId="10" fillId="0" borderId="40" xfId="472" applyFont="1" applyFill="1" applyBorder="1" applyAlignment="1" applyProtection="1">
      <alignment horizontal="center" vertical="center" wrapText="1"/>
      <protection locked="0"/>
    </xf>
    <xf numFmtId="164" fontId="10" fillId="0" borderId="40" xfId="472" applyNumberFormat="1" applyFont="1" applyFill="1" applyBorder="1" applyAlignment="1" applyProtection="1">
      <alignment horizontal="center" vertical="center" wrapText="1"/>
      <protection locked="0"/>
    </xf>
    <xf numFmtId="11" fontId="10" fillId="0" borderId="40" xfId="472" applyNumberFormat="1" applyFont="1" applyFill="1" applyBorder="1" applyAlignment="1" applyProtection="1">
      <alignment horizontal="center" vertical="center" wrapText="1"/>
      <protection locked="0"/>
    </xf>
    <xf numFmtId="0" fontId="17" fillId="0" borderId="4"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0" fillId="0" borderId="0" xfId="0" applyFont="1" applyBorder="1" applyAlignment="1">
      <alignment horizontal="center" vertical="center"/>
    </xf>
    <xf numFmtId="0" fontId="0" fillId="0" borderId="0" xfId="0" applyBorder="1" applyAlignment="1">
      <alignment horizontal="center"/>
    </xf>
    <xf numFmtId="11" fontId="0" fillId="0" borderId="0" xfId="0" applyNumberFormat="1" applyFont="1" applyAlignment="1">
      <alignment horizontal="center"/>
    </xf>
    <xf numFmtId="164" fontId="0" fillId="0" borderId="0" xfId="0" applyNumberFormat="1" applyFont="1" applyAlignment="1">
      <alignment horizontal="center"/>
    </xf>
    <xf numFmtId="0" fontId="10" fillId="0" borderId="0" xfId="0" applyFont="1" applyFill="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xf>
    <xf numFmtId="0" fontId="70" fillId="0" borderId="0" xfId="0" applyFont="1" applyBorder="1" applyAlignment="1">
      <alignment horizontal="center"/>
    </xf>
    <xf numFmtId="0" fontId="0" fillId="0" borderId="0" xfId="0" applyFont="1" applyBorder="1"/>
    <xf numFmtId="0" fontId="10" fillId="0" borderId="0" xfId="0" applyFont="1" applyBorder="1" applyAlignment="1">
      <alignment vertical="center" wrapText="1"/>
    </xf>
    <xf numFmtId="0" fontId="70" fillId="0" borderId="0" xfId="0" applyFont="1" applyBorder="1" applyAlignment="1">
      <alignment horizontal="left"/>
    </xf>
    <xf numFmtId="0" fontId="91" fillId="0" borderId="0" xfId="0" applyFont="1" applyBorder="1" applyAlignment="1">
      <alignment horizontal="center"/>
    </xf>
    <xf numFmtId="0" fontId="0" fillId="0" borderId="0" xfId="0" applyFont="1" applyBorder="1" applyAlignment="1">
      <alignment vertical="center"/>
    </xf>
    <xf numFmtId="0" fontId="83" fillId="0" borderId="0" xfId="0" applyFont="1" applyBorder="1" applyAlignment="1">
      <alignment horizontal="center"/>
    </xf>
    <xf numFmtId="0" fontId="0" fillId="0" borderId="1" xfId="0" applyFont="1" applyBorder="1" applyAlignment="1">
      <alignment horizontal="center" vertical="center"/>
    </xf>
    <xf numFmtId="0" fontId="10" fillId="0" borderId="2" xfId="0" applyFont="1" applyBorder="1" applyAlignment="1">
      <alignment horizontal="center" vertical="center" wrapText="1"/>
    </xf>
    <xf numFmtId="0" fontId="21" fillId="0" borderId="0" xfId="0" applyFont="1" applyBorder="1"/>
    <xf numFmtId="0" fontId="21" fillId="0" borderId="0" xfId="0" applyFont="1" applyBorder="1" applyAlignment="1">
      <alignment horizontal="center" vertical="center"/>
    </xf>
    <xf numFmtId="0" fontId="0" fillId="0" borderId="0" xfId="0" applyFont="1" applyBorder="1" applyAlignment="1">
      <alignment horizontal="left" vertical="center"/>
    </xf>
    <xf numFmtId="0" fontId="10" fillId="0" borderId="4" xfId="0" applyFont="1" applyBorder="1" applyAlignment="1">
      <alignment horizontal="center" vertical="center"/>
    </xf>
    <xf numFmtId="0" fontId="0" fillId="0" borderId="3" xfId="0" applyFont="1" applyBorder="1" applyAlignment="1">
      <alignment horizontal="center"/>
    </xf>
    <xf numFmtId="168" fontId="0" fillId="0" borderId="4" xfId="0" applyNumberFormat="1" applyFont="1" applyBorder="1" applyAlignment="1">
      <alignment horizontal="center"/>
    </xf>
    <xf numFmtId="0" fontId="10" fillId="0" borderId="4" xfId="0" applyFont="1" applyFill="1" applyBorder="1" applyAlignment="1">
      <alignment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22" fillId="0" borderId="0" xfId="0" applyFont="1" applyBorder="1" applyAlignment="1">
      <alignment horizontal="center" vertical="center" wrapText="1"/>
    </xf>
    <xf numFmtId="0" fontId="17" fillId="0" borderId="0" xfId="475" applyFont="1" applyAlignment="1">
      <alignment wrapText="1"/>
    </xf>
    <xf numFmtId="0" fontId="10" fillId="0" borderId="0" xfId="475" applyFont="1" applyAlignment="1">
      <alignment wrapText="1"/>
    </xf>
    <xf numFmtId="0" fontId="17" fillId="0" borderId="0" xfId="475" applyFont="1" applyBorder="1" applyAlignment="1">
      <alignment wrapText="1"/>
    </xf>
    <xf numFmtId="0" fontId="17" fillId="0" borderId="4" xfId="475" applyFont="1" applyBorder="1" applyAlignment="1">
      <alignment wrapText="1"/>
    </xf>
    <xf numFmtId="0" fontId="17" fillId="0" borderId="0" xfId="475" applyFont="1" applyAlignment="1"/>
    <xf numFmtId="0" fontId="10" fillId="0" borderId="42" xfId="475" applyFont="1" applyBorder="1" applyAlignment="1">
      <alignment horizontal="center" wrapText="1"/>
    </xf>
    <xf numFmtId="0" fontId="17" fillId="0" borderId="0" xfId="475" applyFont="1" applyAlignment="1">
      <alignment horizontal="center" wrapText="1"/>
    </xf>
    <xf numFmtId="11" fontId="17" fillId="0" borderId="0" xfId="475" applyNumberFormat="1" applyFont="1" applyAlignment="1">
      <alignment horizontal="center" wrapText="1"/>
    </xf>
    <xf numFmtId="0" fontId="17" fillId="0" borderId="0" xfId="475" applyFont="1" applyBorder="1" applyAlignment="1">
      <alignment horizontal="center" wrapText="1"/>
    </xf>
    <xf numFmtId="0" fontId="17" fillId="0" borderId="4" xfId="475" applyFont="1" applyBorder="1" applyAlignment="1">
      <alignment horizontal="center" wrapText="1"/>
    </xf>
    <xf numFmtId="0" fontId="17" fillId="0" borderId="0" xfId="475" applyFont="1" applyAlignment="1">
      <alignment horizontal="center"/>
    </xf>
    <xf numFmtId="0" fontId="10" fillId="0" borderId="0" xfId="475" applyFont="1" applyAlignment="1">
      <alignment horizontal="left" vertical="top"/>
    </xf>
    <xf numFmtId="0" fontId="17" fillId="0" borderId="0" xfId="475" applyFont="1" applyAlignment="1">
      <alignment horizontal="left"/>
    </xf>
    <xf numFmtId="0" fontId="0" fillId="0" borderId="0" xfId="475" applyFont="1" applyAlignment="1">
      <alignment horizontal="left"/>
    </xf>
    <xf numFmtId="0" fontId="71" fillId="0" borderId="0" xfId="0" applyFont="1" applyAlignment="1">
      <alignment horizontal="left"/>
    </xf>
    <xf numFmtId="0" fontId="92" fillId="0" borderId="0" xfId="475" applyFont="1" applyAlignment="1">
      <alignment horizontal="left"/>
    </xf>
    <xf numFmtId="0" fontId="17" fillId="0" borderId="0" xfId="475" applyFont="1" applyAlignment="1">
      <alignment horizontal="left" wrapText="1"/>
    </xf>
    <xf numFmtId="0" fontId="0" fillId="0" borderId="0" xfId="0" applyAlignment="1">
      <alignment vertical="center"/>
    </xf>
    <xf numFmtId="3" fontId="0" fillId="0" borderId="3" xfId="0" applyNumberFormat="1" applyFill="1" applyBorder="1" applyAlignment="1">
      <alignment horizontal="center"/>
    </xf>
    <xf numFmtId="0" fontId="10" fillId="0" borderId="0" xfId="0" applyFont="1" applyAlignment="1">
      <alignment vertical="top"/>
    </xf>
    <xf numFmtId="3" fontId="0" fillId="0" borderId="3" xfId="0" applyNumberFormat="1" applyBorder="1"/>
    <xf numFmtId="3" fontId="0" fillId="0" borderId="4" xfId="0" applyNumberFormat="1" applyBorder="1"/>
    <xf numFmtId="0" fontId="0" fillId="0" borderId="0" xfId="0" applyFont="1" applyFill="1" applyAlignment="1">
      <alignment horizontal="center"/>
    </xf>
    <xf numFmtId="0" fontId="10" fillId="0" borderId="0" xfId="475" applyFont="1" applyAlignment="1">
      <alignment horizontal="left" vertical="center"/>
    </xf>
    <xf numFmtId="0" fontId="17" fillId="0" borderId="0" xfId="474" applyFont="1" applyAlignment="1">
      <alignment horizontal="center" vertical="center"/>
    </xf>
    <xf numFmtId="0" fontId="17" fillId="0" borderId="0" xfId="474" applyFont="1" applyAlignment="1">
      <alignment horizontal="center" vertical="center" wrapText="1"/>
    </xf>
    <xf numFmtId="0" fontId="17" fillId="0" borderId="0" xfId="474" applyFont="1"/>
    <xf numFmtId="0" fontId="17" fillId="0" borderId="0" xfId="474" applyFont="1" applyFill="1" applyAlignment="1">
      <alignment horizontal="center" vertical="center" wrapText="1"/>
    </xf>
    <xf numFmtId="0" fontId="17" fillId="0" borderId="0" xfId="474" applyFont="1" applyBorder="1" applyAlignment="1">
      <alignment horizontal="center" vertical="center" wrapText="1"/>
    </xf>
    <xf numFmtId="0" fontId="17" fillId="0" borderId="0" xfId="474" applyFont="1" applyFill="1" applyBorder="1" applyAlignment="1">
      <alignment horizontal="center" vertical="center" wrapText="1"/>
    </xf>
    <xf numFmtId="0" fontId="17" fillId="0" borderId="0" xfId="474" applyFont="1" applyFill="1" applyAlignment="1">
      <alignment horizontal="center" vertical="center"/>
    </xf>
    <xf numFmtId="0" fontId="17" fillId="0" borderId="0" xfId="474" applyFont="1" applyFill="1"/>
    <xf numFmtId="0" fontId="15" fillId="0" borderId="0" xfId="474" applyFont="1" applyAlignment="1">
      <alignment horizontal="center" vertical="center"/>
    </xf>
    <xf numFmtId="0" fontId="15" fillId="0" borderId="4" xfId="474" applyFont="1" applyBorder="1" applyAlignment="1">
      <alignment horizontal="center" vertical="center"/>
    </xf>
    <xf numFmtId="0" fontId="17" fillId="0" borderId="4" xfId="474" applyFont="1" applyBorder="1" applyAlignment="1">
      <alignment horizontal="center" vertical="center"/>
    </xf>
    <xf numFmtId="0" fontId="17" fillId="0" borderId="4" xfId="474" applyFont="1" applyBorder="1" applyAlignment="1">
      <alignment horizontal="center" vertical="center" wrapText="1"/>
    </xf>
    <xf numFmtId="0" fontId="10" fillId="0" borderId="42" xfId="474" applyFont="1" applyBorder="1" applyAlignment="1">
      <alignment horizontal="center" vertical="center" wrapText="1"/>
    </xf>
    <xf numFmtId="0" fontId="15" fillId="0" borderId="0" xfId="474" applyFont="1" applyFill="1" applyAlignment="1">
      <alignment horizontal="center" vertical="center" wrapText="1"/>
    </xf>
    <xf numFmtId="0" fontId="15" fillId="0" borderId="0" xfId="474" applyFont="1" applyFill="1" applyBorder="1" applyAlignment="1">
      <alignment horizontal="center" vertical="center" wrapText="1"/>
    </xf>
    <xf numFmtId="0" fontId="21" fillId="0" borderId="0" xfId="0" applyFont="1" applyFill="1" applyAlignment="1">
      <alignment horizontal="center"/>
    </xf>
    <xf numFmtId="0" fontId="0" fillId="0" borderId="0" xfId="0" applyFont="1" applyBorder="1" applyAlignment="1">
      <alignment horizontal="center" vertical="top"/>
    </xf>
    <xf numFmtId="0" fontId="10" fillId="0" borderId="0" xfId="0" applyFont="1" applyFill="1" applyBorder="1" applyAlignment="1">
      <alignment horizontal="center" vertical="center"/>
    </xf>
    <xf numFmtId="0" fontId="17" fillId="0" borderId="0" xfId="474" applyFont="1" applyAlignment="1">
      <alignment vertical="center"/>
    </xf>
    <xf numFmtId="0" fontId="92" fillId="0" borderId="0" xfId="0" applyFont="1" applyAlignment="1">
      <alignment vertical="center"/>
    </xf>
    <xf numFmtId="0" fontId="0" fillId="0" borderId="0" xfId="474" applyFont="1" applyAlignment="1">
      <alignment horizontal="left" vertical="center"/>
    </xf>
    <xf numFmtId="0" fontId="94" fillId="0" borderId="0" xfId="475" applyFont="1" applyFill="1" applyBorder="1" applyAlignment="1">
      <alignment horizontal="center" vertical="center"/>
    </xf>
    <xf numFmtId="0" fontId="17" fillId="0" borderId="0" xfId="474" applyFont="1" applyBorder="1" applyAlignment="1">
      <alignment horizontal="center" vertical="center"/>
    </xf>
    <xf numFmtId="0" fontId="0" fillId="0" borderId="0" xfId="474" applyFont="1" applyBorder="1" applyAlignment="1">
      <alignment horizontal="left" vertical="center"/>
    </xf>
    <xf numFmtId="0" fontId="21" fillId="0" borderId="0" xfId="0" applyFont="1" applyFill="1" applyAlignment="1">
      <alignment vertical="center"/>
    </xf>
    <xf numFmtId="11" fontId="0" fillId="0" borderId="0" xfId="0" applyNumberFormat="1" applyFont="1" applyFill="1" applyBorder="1" applyAlignment="1">
      <alignment horizontal="center"/>
    </xf>
    <xf numFmtId="0" fontId="20" fillId="0" borderId="0" xfId="0" applyFont="1" applyFill="1" applyAlignment="1">
      <alignment horizontal="left"/>
    </xf>
    <xf numFmtId="0" fontId="21" fillId="0" borderId="0" xfId="0" applyFont="1" applyFill="1" applyAlignment="1">
      <alignment horizontal="left"/>
    </xf>
    <xf numFmtId="0" fontId="21" fillId="0" borderId="35" xfId="0" applyFont="1" applyFill="1" applyBorder="1" applyAlignment="1">
      <alignment horizontal="center"/>
    </xf>
    <xf numFmtId="0" fontId="21" fillId="0" borderId="35" xfId="0" applyFont="1" applyFill="1" applyBorder="1" applyAlignment="1">
      <alignment horizontal="left" vertical="center"/>
    </xf>
    <xf numFmtId="0" fontId="21" fillId="0" borderId="0" xfId="0" applyFont="1" applyFill="1" applyBorder="1" applyAlignment="1">
      <alignment horizontal="left" vertical="center"/>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xf>
    <xf numFmtId="164" fontId="20" fillId="0" borderId="0" xfId="0" applyNumberFormat="1" applyFont="1" applyFill="1" applyBorder="1" applyAlignment="1">
      <alignment horizontal="left" vertical="center"/>
    </xf>
    <xf numFmtId="11" fontId="20" fillId="0" borderId="0" xfId="0" applyNumberFormat="1" applyFont="1" applyFill="1" applyBorder="1" applyAlignment="1">
      <alignment horizontal="left" vertical="center"/>
    </xf>
    <xf numFmtId="0" fontId="21" fillId="0" borderId="1" xfId="0" applyFont="1" applyFill="1" applyBorder="1" applyAlignment="1">
      <alignment horizontal="left"/>
    </xf>
    <xf numFmtId="0" fontId="21" fillId="0" borderId="0" xfId="0" applyFont="1" applyFill="1" applyBorder="1" applyAlignment="1">
      <alignment horizontal="left"/>
    </xf>
    <xf numFmtId="164" fontId="21" fillId="0" borderId="0" xfId="0" applyNumberFormat="1" applyFont="1" applyFill="1" applyBorder="1" applyAlignment="1">
      <alignment horizontal="left"/>
    </xf>
    <xf numFmtId="164" fontId="21" fillId="0" borderId="0" xfId="0" applyNumberFormat="1" applyFont="1" applyFill="1" applyAlignment="1">
      <alignment horizontal="left"/>
    </xf>
    <xf numFmtId="0" fontId="21" fillId="0" borderId="4" xfId="0" applyFont="1" applyFill="1" applyBorder="1" applyAlignment="1">
      <alignment horizontal="center"/>
    </xf>
    <xf numFmtId="0" fontId="0" fillId="0" borderId="4" xfId="0" applyFont="1" applyFill="1" applyBorder="1"/>
    <xf numFmtId="164" fontId="21" fillId="0" borderId="4" xfId="0" applyNumberFormat="1" applyFont="1" applyFill="1" applyBorder="1" applyAlignment="1">
      <alignment horizontal="left"/>
    </xf>
    <xf numFmtId="0" fontId="21" fillId="0" borderId="4" xfId="0" applyFont="1" applyFill="1" applyBorder="1" applyAlignment="1">
      <alignment horizontal="left"/>
    </xf>
    <xf numFmtId="0" fontId="21" fillId="0" borderId="3" xfId="0" applyFont="1" applyFill="1" applyBorder="1" applyAlignment="1">
      <alignment horizontal="left"/>
    </xf>
    <xf numFmtId="0" fontId="20" fillId="0" borderId="0" xfId="0" applyFont="1" applyFill="1" applyAlignment="1">
      <alignment horizontal="center"/>
    </xf>
    <xf numFmtId="0" fontId="21" fillId="0" borderId="35" xfId="0" applyFont="1" applyFill="1" applyBorder="1" applyAlignment="1">
      <alignment horizontal="center" vertical="center"/>
    </xf>
    <xf numFmtId="0" fontId="22" fillId="0" borderId="35" xfId="0" applyFont="1" applyFill="1" applyBorder="1" applyAlignment="1">
      <alignment horizontal="center" vertical="center"/>
    </xf>
    <xf numFmtId="164" fontId="21" fillId="0" borderId="0" xfId="0" applyNumberFormat="1" applyFont="1" applyFill="1" applyBorder="1" applyAlignment="1">
      <alignment horizontal="center"/>
    </xf>
    <xf numFmtId="164" fontId="21" fillId="0" borderId="0" xfId="0" applyNumberFormat="1" applyFont="1" applyFill="1" applyAlignment="1">
      <alignment horizontal="center"/>
    </xf>
    <xf numFmtId="11" fontId="21" fillId="0" borderId="0" xfId="0" applyNumberFormat="1" applyFont="1" applyFill="1" applyAlignment="1">
      <alignment horizontal="center"/>
    </xf>
    <xf numFmtId="0" fontId="0" fillId="0" borderId="4" xfId="0" applyFont="1" applyFill="1" applyBorder="1" applyAlignment="1">
      <alignment horizontal="center"/>
    </xf>
    <xf numFmtId="164" fontId="21" fillId="0" borderId="4" xfId="0" applyNumberFormat="1" applyFont="1" applyFill="1" applyBorder="1" applyAlignment="1">
      <alignment horizontal="center"/>
    </xf>
    <xf numFmtId="164" fontId="21" fillId="0" borderId="35"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0" fillId="0" borderId="0" xfId="0" applyNumberFormat="1" applyFont="1" applyFill="1" applyAlignment="1">
      <alignment horizontal="center"/>
    </xf>
    <xf numFmtId="164" fontId="0" fillId="0" borderId="4" xfId="0" applyNumberFormat="1" applyFont="1" applyFill="1" applyBorder="1" applyAlignment="1">
      <alignment horizontal="center"/>
    </xf>
    <xf numFmtId="11" fontId="20" fillId="0" borderId="0" xfId="0" applyNumberFormat="1" applyFont="1" applyFill="1" applyBorder="1" applyAlignment="1">
      <alignment horizontal="center" vertical="center"/>
    </xf>
    <xf numFmtId="164" fontId="21" fillId="0" borderId="2" xfId="0" applyNumberFormat="1" applyFont="1" applyFill="1" applyBorder="1" applyAlignment="1">
      <alignment horizontal="left"/>
    </xf>
    <xf numFmtId="164" fontId="21" fillId="0" borderId="5" xfId="0" applyNumberFormat="1" applyFont="1" applyFill="1" applyBorder="1" applyAlignment="1">
      <alignment horizontal="left"/>
    </xf>
    <xf numFmtId="0" fontId="10" fillId="0" borderId="0" xfId="0" applyFont="1" applyFill="1" applyBorder="1" applyAlignment="1">
      <alignment horizontal="center" wrapText="1"/>
    </xf>
    <xf numFmtId="11" fontId="21" fillId="0" borderId="0" xfId="0" applyNumberFormat="1" applyFont="1" applyFill="1" applyAlignment="1">
      <alignment horizontal="left"/>
    </xf>
    <xf numFmtId="0" fontId="21" fillId="0" borderId="0" xfId="0" applyFont="1" applyFill="1" applyBorder="1" applyAlignment="1">
      <alignment horizontal="center"/>
    </xf>
    <xf numFmtId="11" fontId="21" fillId="0" borderId="0" xfId="0" applyNumberFormat="1" applyFont="1" applyFill="1" applyBorder="1" applyAlignment="1">
      <alignment horizontal="center"/>
    </xf>
    <xf numFmtId="0" fontId="0" fillId="0" borderId="0" xfId="0" applyFont="1" applyFill="1" applyAlignment="1">
      <alignment vertical="center"/>
    </xf>
    <xf numFmtId="0" fontId="0" fillId="0" borderId="45" xfId="0" applyFont="1" applyBorder="1" applyAlignment="1">
      <alignment horizontal="center"/>
    </xf>
    <xf numFmtId="2" fontId="0" fillId="0" borderId="0" xfId="0" applyNumberFormat="1" applyFont="1" applyBorder="1" applyAlignment="1">
      <alignment horizontal="center"/>
    </xf>
    <xf numFmtId="2" fontId="0" fillId="0" borderId="45" xfId="0" applyNumberFormat="1" applyFont="1" applyBorder="1" applyAlignment="1">
      <alignment horizontal="center"/>
    </xf>
    <xf numFmtId="2" fontId="0" fillId="0" borderId="4" xfId="0" applyNumberFormat="1" applyFont="1" applyBorder="1" applyAlignment="1">
      <alignment horizontal="center"/>
    </xf>
    <xf numFmtId="1" fontId="0" fillId="0" borderId="0" xfId="0" applyNumberFormat="1" applyFont="1" applyAlignment="1">
      <alignment horizontal="center"/>
    </xf>
    <xf numFmtId="1" fontId="0" fillId="0" borderId="0" xfId="0" applyNumberFormat="1" applyFont="1" applyBorder="1" applyAlignment="1">
      <alignment horizontal="center"/>
    </xf>
    <xf numFmtId="1" fontId="0" fillId="0" borderId="45" xfId="0" applyNumberFormat="1" applyFont="1" applyBorder="1" applyAlignment="1">
      <alignment horizontal="center"/>
    </xf>
    <xf numFmtId="1" fontId="0" fillId="0" borderId="4" xfId="0" applyNumberFormat="1" applyFont="1" applyBorder="1" applyAlignment="1">
      <alignment horizontal="center"/>
    </xf>
    <xf numFmtId="0" fontId="0" fillId="0" borderId="45"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4" xfId="0" applyFont="1" applyBorder="1" applyAlignment="1">
      <alignment horizontal="center" wrapText="1"/>
    </xf>
    <xf numFmtId="2" fontId="0" fillId="0" borderId="2" xfId="0" applyNumberFormat="1" applyFont="1" applyBorder="1" applyAlignment="1">
      <alignment horizontal="center"/>
    </xf>
    <xf numFmtId="2" fontId="0" fillId="0" borderId="46" xfId="0" applyNumberFormat="1" applyFont="1" applyBorder="1" applyAlignment="1">
      <alignment horizontal="center"/>
    </xf>
    <xf numFmtId="2" fontId="0" fillId="0" borderId="5" xfId="0" applyNumberFormat="1" applyFont="1" applyBorder="1" applyAlignment="1">
      <alignment horizontal="center"/>
    </xf>
    <xf numFmtId="2" fontId="0" fillId="0" borderId="32" xfId="0" applyNumberFormat="1" applyFont="1" applyBorder="1" applyAlignment="1">
      <alignment horizontal="center"/>
    </xf>
    <xf numFmtId="164" fontId="0" fillId="0" borderId="45" xfId="0" applyNumberFormat="1" applyFont="1" applyBorder="1" applyAlignment="1">
      <alignment horizontal="center"/>
    </xf>
    <xf numFmtId="0" fontId="0" fillId="0" borderId="1" xfId="0" applyFont="1" applyBorder="1" applyAlignment="1">
      <alignment horizontal="center"/>
    </xf>
    <xf numFmtId="0" fontId="0" fillId="0" borderId="47" xfId="0" applyFont="1" applyBorder="1" applyAlignment="1">
      <alignment horizontal="center"/>
    </xf>
    <xf numFmtId="0" fontId="0" fillId="0" borderId="7" xfId="0" applyFont="1" applyBorder="1" applyAlignment="1">
      <alignment horizontal="center"/>
    </xf>
    <xf numFmtId="164" fontId="10"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xf>
    <xf numFmtId="0" fontId="10" fillId="56" borderId="42" xfId="0" applyFont="1" applyFill="1" applyBorder="1" applyAlignment="1">
      <alignment horizontal="center" vertical="center" wrapText="1"/>
    </xf>
    <xf numFmtId="164" fontId="10" fillId="56" borderId="42" xfId="0" applyNumberFormat="1" applyFont="1" applyFill="1" applyBorder="1" applyAlignment="1">
      <alignment horizontal="center" vertical="center" wrapText="1"/>
    </xf>
    <xf numFmtId="0" fontId="10" fillId="56" borderId="43" xfId="0" applyFont="1" applyFill="1" applyBorder="1" applyAlignment="1">
      <alignment horizontal="center" vertical="center" wrapText="1"/>
    </xf>
    <xf numFmtId="2" fontId="10" fillId="56" borderId="42" xfId="0" applyNumberFormat="1" applyFont="1" applyFill="1" applyBorder="1" applyAlignment="1">
      <alignment horizontal="center" vertical="center" wrapText="1"/>
    </xf>
    <xf numFmtId="164" fontId="10" fillId="0" borderId="42" xfId="0" applyNumberFormat="1" applyFont="1" applyFill="1" applyBorder="1" applyAlignment="1">
      <alignment horizontal="center" vertical="center"/>
    </xf>
    <xf numFmtId="0" fontId="0" fillId="0" borderId="0" xfId="0" applyFont="1" applyBorder="1" applyAlignment="1">
      <alignment horizontal="left"/>
    </xf>
    <xf numFmtId="0" fontId="0" fillId="0" borderId="4" xfId="0" applyBorder="1" applyAlignment="1">
      <alignment horizontal="center"/>
    </xf>
    <xf numFmtId="0" fontId="10" fillId="0" borderId="40" xfId="0" applyFont="1" applyFill="1" applyBorder="1" applyAlignment="1">
      <alignment horizontal="center" wrapText="1"/>
    </xf>
    <xf numFmtId="0" fontId="10" fillId="56" borderId="48" xfId="0" applyFont="1" applyFill="1" applyBorder="1" applyAlignment="1">
      <alignment horizontal="center" wrapText="1"/>
    </xf>
    <xf numFmtId="0" fontId="10" fillId="56" borderId="48" xfId="0" applyFont="1" applyFill="1" applyBorder="1" applyAlignment="1">
      <alignment horizontal="center"/>
    </xf>
    <xf numFmtId="0" fontId="10" fillId="56" borderId="49" xfId="0" applyFont="1" applyFill="1" applyBorder="1" applyAlignment="1">
      <alignment horizontal="center"/>
    </xf>
    <xf numFmtId="164" fontId="10" fillId="56" borderId="48" xfId="0" applyNumberFormat="1" applyFont="1" applyFill="1" applyBorder="1" applyAlignment="1">
      <alignment horizontal="center" wrapText="1"/>
    </xf>
    <xf numFmtId="0" fontId="20" fillId="0" borderId="0" xfId="0" applyFont="1" applyFill="1" applyAlignment="1">
      <alignment horizontal="left" vertical="center"/>
    </xf>
    <xf numFmtId="49" fontId="20" fillId="0" borderId="4" xfId="0" applyNumberFormat="1" applyFont="1" applyFill="1" applyBorder="1" applyAlignment="1">
      <alignment horizontal="left" vertical="center" wrapText="1"/>
    </xf>
    <xf numFmtId="0" fontId="22" fillId="0" borderId="0" xfId="0" applyFont="1" applyAlignment="1">
      <alignment horizontal="left" vertical="center"/>
    </xf>
    <xf numFmtId="0" fontId="21" fillId="0" borderId="0" xfId="0" applyFont="1" applyAlignment="1">
      <alignment horizontal="left" vertical="center"/>
    </xf>
    <xf numFmtId="49" fontId="21" fillId="0" borderId="0" xfId="0" applyNumberFormat="1" applyFont="1" applyAlignment="1">
      <alignment horizontal="left" vertical="center"/>
    </xf>
    <xf numFmtId="0" fontId="21" fillId="0" borderId="4" xfId="0" applyFont="1" applyFill="1" applyBorder="1" applyAlignment="1">
      <alignment horizontal="left" vertical="center"/>
    </xf>
    <xf numFmtId="49" fontId="21" fillId="0" borderId="4" xfId="0" applyNumberFormat="1" applyFont="1" applyFill="1" applyBorder="1" applyAlignment="1">
      <alignment horizontal="left" vertical="center"/>
    </xf>
    <xf numFmtId="0" fontId="21" fillId="0" borderId="0" xfId="0" applyFont="1" applyAlignment="1">
      <alignment horizontal="left"/>
    </xf>
    <xf numFmtId="0" fontId="20" fillId="0" borderId="9" xfId="0" applyFont="1" applyFill="1" applyBorder="1" applyAlignment="1">
      <alignment horizontal="left" vertical="center" wrapText="1"/>
    </xf>
    <xf numFmtId="0" fontId="21" fillId="0" borderId="9" xfId="0" applyFont="1" applyFill="1" applyBorder="1" applyAlignment="1">
      <alignment horizontal="left"/>
    </xf>
    <xf numFmtId="0" fontId="21" fillId="0" borderId="10" xfId="0" applyFont="1" applyFill="1" applyBorder="1" applyAlignment="1">
      <alignment horizontal="left"/>
    </xf>
    <xf numFmtId="0" fontId="0" fillId="0" borderId="54" xfId="0" applyFont="1" applyBorder="1" applyAlignment="1">
      <alignment horizontal="center"/>
    </xf>
    <xf numFmtId="0" fontId="0" fillId="0" borderId="55" xfId="0" applyFont="1" applyBorder="1" applyAlignment="1">
      <alignment horizontal="center" wrapText="1"/>
    </xf>
    <xf numFmtId="164" fontId="0" fillId="0" borderId="55" xfId="0" applyNumberFormat="1" applyFont="1" applyBorder="1" applyAlignment="1">
      <alignment horizontal="center"/>
    </xf>
    <xf numFmtId="2" fontId="0" fillId="0" borderId="55" xfId="0" applyNumberFormat="1" applyFont="1" applyBorder="1" applyAlignment="1">
      <alignment horizontal="center"/>
    </xf>
    <xf numFmtId="0" fontId="0" fillId="0" borderId="55" xfId="0" applyFont="1" applyBorder="1" applyAlignment="1">
      <alignment horizontal="center"/>
    </xf>
    <xf numFmtId="2" fontId="0" fillId="0" borderId="56" xfId="0" applyNumberFormat="1" applyFont="1" applyBorder="1" applyAlignment="1">
      <alignment horizontal="center"/>
    </xf>
    <xf numFmtId="1" fontId="0" fillId="0" borderId="55" xfId="0" applyNumberFormat="1" applyFont="1" applyBorder="1" applyAlignment="1">
      <alignment horizontal="center"/>
    </xf>
    <xf numFmtId="0" fontId="20" fillId="0" borderId="0" xfId="0" applyFont="1" applyAlignment="1">
      <alignment horizontal="left" vertical="center"/>
    </xf>
    <xf numFmtId="0" fontId="20" fillId="0" borderId="40" xfId="472" applyFont="1" applyFill="1" applyBorder="1" applyAlignment="1" applyProtection="1">
      <alignment horizontal="center" vertical="center" wrapText="1"/>
      <protection locked="0"/>
    </xf>
    <xf numFmtId="0" fontId="10" fillId="0" borderId="0" xfId="472" applyFont="1" applyFill="1" applyBorder="1" applyAlignment="1" applyProtection="1">
      <alignment horizontal="left" vertical="center"/>
      <protection locked="0"/>
    </xf>
    <xf numFmtId="0" fontId="17" fillId="0" borderId="0" xfId="472" applyFont="1" applyFill="1" applyBorder="1" applyAlignment="1" applyProtection="1">
      <alignment horizontal="left" vertical="center"/>
      <protection locked="0"/>
    </xf>
    <xf numFmtId="0" fontId="17" fillId="0" borderId="0" xfId="472" applyFont="1" applyFill="1" applyBorder="1" applyAlignment="1" applyProtection="1">
      <alignment horizontal="left" vertical="center" wrapText="1"/>
      <protection locked="0"/>
    </xf>
    <xf numFmtId="0" fontId="17" fillId="0" borderId="0" xfId="472" applyFont="1" applyFill="1" applyAlignment="1" applyProtection="1">
      <alignment horizontal="left" vertical="center" wrapText="1"/>
      <protection locked="0"/>
    </xf>
    <xf numFmtId="0" fontId="70" fillId="0" borderId="0" xfId="0" applyFont="1" applyFill="1" applyAlignment="1">
      <alignment horizontal="left" vertical="center"/>
    </xf>
    <xf numFmtId="0" fontId="71" fillId="0" borderId="0" xfId="0" applyFont="1" applyFill="1" applyAlignment="1" applyProtection="1">
      <alignment horizontal="left" vertical="center" wrapText="1"/>
      <protection locked="0"/>
    </xf>
    <xf numFmtId="0" fontId="10" fillId="0" borderId="0" xfId="472" applyFont="1" applyFill="1" applyAlignment="1">
      <alignment horizontal="left" vertical="center"/>
    </xf>
    <xf numFmtId="0" fontId="21" fillId="0" borderId="0" xfId="0" applyFont="1" applyFill="1" applyAlignment="1">
      <alignment horizontal="left" wrapText="1"/>
    </xf>
    <xf numFmtId="0" fontId="22" fillId="0" borderId="0" xfId="0" applyFont="1" applyFill="1" applyAlignment="1">
      <alignment horizontal="left"/>
    </xf>
    <xf numFmtId="0" fontId="71" fillId="0" borderId="4" xfId="0" applyFont="1" applyFill="1" applyBorder="1" applyAlignment="1" applyProtection="1">
      <alignment horizontal="left" vertical="center" wrapText="1"/>
      <protection locked="0"/>
    </xf>
    <xf numFmtId="0" fontId="17" fillId="0" borderId="0" xfId="0" applyFont="1" applyFill="1" applyAlignment="1">
      <alignment horizontal="left"/>
    </xf>
    <xf numFmtId="0" fontId="17" fillId="0" borderId="0" xfId="0" applyFont="1" applyFill="1" applyAlignment="1" applyProtection="1">
      <alignment horizontal="left" wrapText="1"/>
      <protection locked="0"/>
    </xf>
    <xf numFmtId="0" fontId="17" fillId="0" borderId="0" xfId="0" applyFont="1" applyFill="1" applyAlignment="1">
      <alignment horizontal="left" wrapText="1"/>
    </xf>
    <xf numFmtId="0" fontId="17" fillId="0" borderId="4" xfId="0" applyFont="1" applyFill="1" applyBorder="1" applyAlignment="1" applyProtection="1">
      <alignment horizontal="left" vertical="center" wrapText="1"/>
      <protection locked="0"/>
    </xf>
    <xf numFmtId="0" fontId="17" fillId="0" borderId="0" xfId="0" applyFont="1" applyFill="1" applyAlignment="1">
      <alignment vertical="center"/>
    </xf>
    <xf numFmtId="0" fontId="71" fillId="0" borderId="0" xfId="0" applyFont="1" applyFill="1" applyAlignment="1">
      <alignment horizontal="left"/>
    </xf>
    <xf numFmtId="0" fontId="21" fillId="0" borderId="0" xfId="473" applyFont="1" applyFill="1" applyAlignment="1">
      <alignment horizontal="left"/>
    </xf>
    <xf numFmtId="0" fontId="17" fillId="0" borderId="0" xfId="473" applyFont="1" applyFill="1" applyAlignment="1">
      <alignment horizontal="left"/>
    </xf>
    <xf numFmtId="0" fontId="70" fillId="0" borderId="0" xfId="473" applyFont="1" applyFill="1" applyAlignment="1">
      <alignment horizontal="left"/>
    </xf>
    <xf numFmtId="0" fontId="17" fillId="0" borderId="0" xfId="473" applyFont="1" applyFill="1" applyBorder="1" applyAlignment="1">
      <alignment horizontal="left"/>
    </xf>
    <xf numFmtId="0" fontId="70" fillId="0" borderId="0" xfId="0" applyFont="1" applyFill="1" applyAlignment="1">
      <alignment horizontal="left"/>
    </xf>
    <xf numFmtId="0" fontId="0" fillId="0" borderId="0" xfId="472" applyFont="1" applyFill="1" applyBorder="1" applyAlignment="1" applyProtection="1">
      <alignment horizontal="left" vertical="center"/>
      <protection locked="0"/>
    </xf>
    <xf numFmtId="0" fontId="0" fillId="0" borderId="0" xfId="0" applyFont="1" applyFill="1" applyAlignment="1">
      <alignment horizontal="left"/>
    </xf>
    <xf numFmtId="0" fontId="16" fillId="0" borderId="40" xfId="472" applyFont="1" applyFill="1" applyBorder="1" applyAlignment="1" applyProtection="1">
      <alignment horizontal="center" vertical="center" wrapText="1"/>
      <protection locked="0"/>
    </xf>
    <xf numFmtId="0" fontId="17" fillId="0" borderId="0" xfId="472" applyFont="1" applyFill="1" applyAlignment="1" applyProtection="1">
      <alignment horizontal="center" vertical="center" wrapText="1"/>
      <protection locked="0"/>
    </xf>
    <xf numFmtId="0" fontId="16" fillId="56" borderId="48" xfId="0" applyFont="1" applyFill="1" applyBorder="1" applyAlignment="1">
      <alignment horizontal="center"/>
    </xf>
    <xf numFmtId="0" fontId="65" fillId="0" borderId="40" xfId="0" applyFont="1" applyFill="1" applyBorder="1" applyAlignment="1">
      <alignment horizontal="center"/>
    </xf>
    <xf numFmtId="0" fontId="10" fillId="0" borderId="0" xfId="0" applyFont="1" applyAlignment="1">
      <alignment horizontal="left" vertical="center"/>
    </xf>
    <xf numFmtId="0" fontId="10" fillId="56" borderId="40" xfId="0" applyFont="1" applyFill="1" applyBorder="1" applyAlignment="1">
      <alignment horizontal="center" vertical="center" wrapText="1"/>
    </xf>
    <xf numFmtId="3" fontId="0" fillId="0" borderId="0" xfId="0" applyNumberFormat="1" applyAlignment="1">
      <alignment horizontal="center"/>
    </xf>
    <xf numFmtId="0" fontId="0" fillId="56" borderId="4" xfId="0" applyFill="1" applyBorder="1" applyAlignment="1">
      <alignment horizontal="center"/>
    </xf>
    <xf numFmtId="0" fontId="64" fillId="0" borderId="0" xfId="0" applyFont="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10" fillId="0" borderId="40" xfId="485" applyFont="1" applyFill="1" applyBorder="1" applyAlignment="1">
      <alignment horizontal="center" wrapText="1"/>
    </xf>
    <xf numFmtId="164" fontId="10" fillId="0" borderId="39" xfId="485" applyNumberFormat="1" applyFont="1" applyFill="1" applyBorder="1" applyAlignment="1">
      <alignment horizontal="center" wrapText="1"/>
    </xf>
    <xf numFmtId="164" fontId="10" fillId="0" borderId="40" xfId="485" applyNumberFormat="1" applyFont="1" applyFill="1" applyBorder="1" applyAlignment="1">
      <alignment horizontal="center" wrapText="1"/>
    </xf>
    <xf numFmtId="164" fontId="10" fillId="0" borderId="40" xfId="485" applyNumberFormat="1" applyFont="1" applyFill="1" applyBorder="1" applyAlignment="1">
      <alignment horizontal="center"/>
    </xf>
    <xf numFmtId="0" fontId="15" fillId="0" borderId="0" xfId="485" applyFont="1" applyFill="1" applyAlignment="1">
      <alignment horizontal="center"/>
    </xf>
    <xf numFmtId="0" fontId="17" fillId="0" borderId="0" xfId="485" applyFont="1" applyAlignment="1">
      <alignment vertical="center"/>
    </xf>
    <xf numFmtId="0" fontId="21" fillId="0" borderId="0" xfId="485" applyFont="1" applyAlignment="1">
      <alignment vertical="center"/>
    </xf>
    <xf numFmtId="0" fontId="17" fillId="0" borderId="0" xfId="485" applyFont="1" applyFill="1" applyAlignment="1">
      <alignment horizontal="left"/>
    </xf>
    <xf numFmtId="2" fontId="10" fillId="0" borderId="0" xfId="486" applyNumberFormat="1" applyFont="1" applyBorder="1" applyAlignment="1">
      <alignment horizontal="center"/>
    </xf>
    <xf numFmtId="2" fontId="69" fillId="0" borderId="0" xfId="486" applyNumberFormat="1" applyFont="1" applyBorder="1" applyAlignment="1">
      <alignment horizontal="center"/>
    </xf>
    <xf numFmtId="11" fontId="10" fillId="0" borderId="0" xfId="486" applyNumberFormat="1" applyFont="1" applyBorder="1" applyAlignment="1">
      <alignment horizontal="center"/>
    </xf>
    <xf numFmtId="164" fontId="10" fillId="0" borderId="0" xfId="486" applyNumberFormat="1" applyFont="1" applyBorder="1" applyAlignment="1">
      <alignment horizontal="center"/>
    </xf>
    <xf numFmtId="0" fontId="10" fillId="0" borderId="0" xfId="486" applyFont="1" applyBorder="1" applyAlignment="1">
      <alignment horizontal="center"/>
    </xf>
    <xf numFmtId="49" fontId="16" fillId="0" borderId="0" xfId="486" applyNumberFormat="1" applyFont="1" applyBorder="1" applyAlignment="1">
      <alignment horizontal="center"/>
    </xf>
    <xf numFmtId="0" fontId="16" fillId="0" borderId="0" xfId="486" applyFont="1" applyFill="1" applyBorder="1" applyAlignment="1">
      <alignment horizontal="center"/>
    </xf>
    <xf numFmtId="2" fontId="10" fillId="0" borderId="5" xfId="486" applyNumberFormat="1" applyFont="1" applyBorder="1" applyAlignment="1">
      <alignment horizontal="center"/>
    </xf>
    <xf numFmtId="2" fontId="69" fillId="0" borderId="4" xfId="486" applyNumberFormat="1" applyFont="1" applyBorder="1" applyAlignment="1">
      <alignment horizontal="center"/>
    </xf>
    <xf numFmtId="11" fontId="10" fillId="0" borderId="4" xfId="486" applyNumberFormat="1" applyFont="1" applyBorder="1" applyAlignment="1">
      <alignment horizontal="center"/>
    </xf>
    <xf numFmtId="164" fontId="10" fillId="0" borderId="4" xfId="486" applyNumberFormat="1" applyFont="1" applyBorder="1" applyAlignment="1">
      <alignment horizontal="center"/>
    </xf>
    <xf numFmtId="164" fontId="10" fillId="0" borderId="3" xfId="486" applyNumberFormat="1" applyFont="1" applyBorder="1" applyAlignment="1">
      <alignment horizontal="center"/>
    </xf>
    <xf numFmtId="0" fontId="10" fillId="0" borderId="4" xfId="486" applyFont="1" applyBorder="1" applyAlignment="1">
      <alignment horizontal="center"/>
    </xf>
    <xf numFmtId="11" fontId="10" fillId="0" borderId="5" xfId="486" applyNumberFormat="1" applyFont="1" applyBorder="1" applyAlignment="1">
      <alignment horizontal="center"/>
    </xf>
    <xf numFmtId="49" fontId="16" fillId="0" borderId="4" xfId="486" applyNumberFormat="1" applyFont="1" applyBorder="1" applyAlignment="1">
      <alignment horizontal="center"/>
    </xf>
    <xf numFmtId="0" fontId="16" fillId="0" borderId="4" xfId="486" applyFont="1" applyFill="1" applyBorder="1" applyAlignment="1">
      <alignment horizontal="center"/>
    </xf>
    <xf numFmtId="2" fontId="17" fillId="0" borderId="2" xfId="486" applyNumberFormat="1" applyFont="1" applyBorder="1" applyAlignment="1">
      <alignment horizontal="center"/>
    </xf>
    <xf numFmtId="2" fontId="17" fillId="0" borderId="0" xfId="486" applyNumberFormat="1" applyFont="1" applyBorder="1" applyAlignment="1">
      <alignment horizontal="center"/>
    </xf>
    <xf numFmtId="11" fontId="17" fillId="0" borderId="0" xfId="486" applyNumberFormat="1" applyFont="1" applyBorder="1" applyAlignment="1">
      <alignment horizontal="center"/>
    </xf>
    <xf numFmtId="164" fontId="17" fillId="0" borderId="0" xfId="486" applyNumberFormat="1" applyFont="1" applyBorder="1" applyAlignment="1">
      <alignment horizontal="center"/>
    </xf>
    <xf numFmtId="164" fontId="17" fillId="0" borderId="1" xfId="486" applyNumberFormat="1" applyFont="1" applyBorder="1" applyAlignment="1">
      <alignment horizontal="center"/>
    </xf>
    <xf numFmtId="0" fontId="17" fillId="0" borderId="0" xfId="486" applyFont="1" applyBorder="1" applyAlignment="1">
      <alignment horizontal="center"/>
    </xf>
    <xf numFmtId="11" fontId="17" fillId="0" borderId="2" xfId="486" applyNumberFormat="1" applyFont="1" applyBorder="1" applyAlignment="1">
      <alignment horizontal="center"/>
    </xf>
    <xf numFmtId="0" fontId="17" fillId="0" borderId="1" xfId="486" applyFont="1" applyBorder="1" applyAlignment="1">
      <alignment horizontal="center"/>
    </xf>
    <xf numFmtId="49" fontId="15" fillId="0" borderId="0" xfId="486" applyNumberFormat="1" applyFont="1" applyBorder="1" applyAlignment="1">
      <alignment horizontal="center"/>
    </xf>
    <xf numFmtId="0" fontId="15" fillId="0" borderId="0" xfId="486" applyFont="1" applyFill="1" applyBorder="1" applyAlignment="1">
      <alignment horizontal="center"/>
    </xf>
    <xf numFmtId="2" fontId="17" fillId="0" borderId="0" xfId="486" applyNumberFormat="1" applyFont="1" applyAlignment="1">
      <alignment horizontal="center"/>
    </xf>
    <xf numFmtId="11" fontId="17" fillId="0" borderId="0" xfId="486" applyNumberFormat="1" applyFont="1" applyAlignment="1">
      <alignment horizontal="center"/>
    </xf>
    <xf numFmtId="164" fontId="17" fillId="0" borderId="0" xfId="486" applyNumberFormat="1" applyFont="1" applyAlignment="1">
      <alignment horizontal="center"/>
    </xf>
    <xf numFmtId="0" fontId="17" fillId="0" borderId="0" xfId="486" applyFont="1" applyAlignment="1">
      <alignment horizontal="center"/>
    </xf>
    <xf numFmtId="49" fontId="15" fillId="0" borderId="0" xfId="486" applyNumberFormat="1" applyFont="1" applyAlignment="1">
      <alignment horizontal="center"/>
    </xf>
    <xf numFmtId="49" fontId="17" fillId="0" borderId="0" xfId="486" applyNumberFormat="1" applyFont="1" applyAlignment="1">
      <alignment horizontal="center"/>
    </xf>
    <xf numFmtId="0" fontId="14" fillId="0" borderId="0" xfId="486" applyFont="1" applyFill="1" applyBorder="1" applyAlignment="1">
      <alignment horizontal="left"/>
    </xf>
    <xf numFmtId="2" fontId="21" fillId="0" borderId="0" xfId="486" applyNumberFormat="1" applyFont="1" applyAlignment="1">
      <alignment horizontal="center"/>
    </xf>
    <xf numFmtId="2" fontId="69" fillId="0" borderId="0" xfId="486" applyNumberFormat="1" applyFont="1" applyAlignment="1">
      <alignment horizontal="center"/>
    </xf>
    <xf numFmtId="0" fontId="15" fillId="0" borderId="0" xfId="486" applyFont="1" applyFill="1" applyAlignment="1">
      <alignment horizontal="center"/>
    </xf>
    <xf numFmtId="11" fontId="17" fillId="0" borderId="1" xfId="486" applyNumberFormat="1" applyFont="1" applyBorder="1" applyAlignment="1">
      <alignment horizontal="center"/>
    </xf>
    <xf numFmtId="0" fontId="17" fillId="0" borderId="0" xfId="486" applyFont="1" applyFill="1" applyAlignment="1">
      <alignment horizontal="center"/>
    </xf>
    <xf numFmtId="49" fontId="15" fillId="0" borderId="0" xfId="486" applyNumberFormat="1" applyFont="1" applyFill="1" applyAlignment="1">
      <alignment horizontal="center"/>
    </xf>
    <xf numFmtId="0" fontId="17" fillId="0" borderId="2" xfId="486" applyFont="1" applyBorder="1" applyAlignment="1">
      <alignment horizontal="center"/>
    </xf>
    <xf numFmtId="0" fontId="14" fillId="0" borderId="0" xfId="486" applyFont="1" applyFill="1" applyAlignment="1">
      <alignment horizontal="left"/>
    </xf>
    <xf numFmtId="0" fontId="10" fillId="0" borderId="0" xfId="486" applyFont="1" applyFill="1" applyBorder="1" applyAlignment="1">
      <alignment horizontal="center" wrapText="1"/>
    </xf>
    <xf numFmtId="0" fontId="10" fillId="0" borderId="0" xfId="486" applyFont="1" applyFill="1" applyBorder="1" applyAlignment="1">
      <alignment horizontal="center"/>
    </xf>
    <xf numFmtId="0" fontId="16" fillId="0" borderId="0" xfId="486" applyFont="1" applyFill="1" applyAlignment="1">
      <alignment horizontal="center"/>
    </xf>
    <xf numFmtId="169" fontId="71" fillId="0" borderId="6" xfId="0" applyNumberFormat="1" applyFont="1" applyBorder="1" applyAlignment="1">
      <alignment horizontal="center"/>
    </xf>
    <xf numFmtId="0" fontId="71" fillId="0" borderId="6" xfId="0" applyFont="1" applyFill="1" applyBorder="1" applyAlignment="1">
      <alignment horizontal="center" vertical="center" wrapText="1"/>
    </xf>
    <xf numFmtId="0" fontId="15" fillId="0" borderId="6" xfId="0" applyFont="1" applyBorder="1" applyAlignment="1">
      <alignment horizontal="center"/>
    </xf>
    <xf numFmtId="2" fontId="10" fillId="0" borderId="0" xfId="0" applyNumberFormat="1" applyFont="1" applyBorder="1" applyAlignment="1">
      <alignment horizontal="center"/>
    </xf>
    <xf numFmtId="169" fontId="96" fillId="0" borderId="0" xfId="0" applyNumberFormat="1" applyFont="1" applyBorder="1" applyAlignment="1">
      <alignment horizontal="center"/>
    </xf>
    <xf numFmtId="0" fontId="96" fillId="0" borderId="0" xfId="0" applyFont="1" applyFill="1" applyBorder="1" applyAlignment="1">
      <alignment horizontal="center"/>
    </xf>
    <xf numFmtId="11" fontId="10" fillId="0" borderId="0" xfId="0" applyNumberFormat="1" applyFont="1" applyBorder="1" applyAlignment="1">
      <alignment horizontal="center"/>
    </xf>
    <xf numFmtId="2" fontId="10" fillId="0" borderId="0" xfId="0" applyNumberFormat="1" applyFont="1" applyAlignment="1">
      <alignment horizontal="center"/>
    </xf>
    <xf numFmtId="169" fontId="96" fillId="0" borderId="0" xfId="0" applyNumberFormat="1" applyFont="1" applyAlignment="1">
      <alignment horizontal="center"/>
    </xf>
    <xf numFmtId="0" fontId="96" fillId="0" borderId="0" xfId="0" applyFont="1" applyFill="1" applyAlignment="1">
      <alignment horizontal="center"/>
    </xf>
    <xf numFmtId="11" fontId="10" fillId="0" borderId="0" xfId="0" applyNumberFormat="1" applyFont="1" applyAlignment="1">
      <alignment horizontal="center"/>
    </xf>
    <xf numFmtId="0" fontId="16" fillId="0" borderId="0" xfId="0" applyFont="1" applyAlignment="1">
      <alignment horizontal="center"/>
    </xf>
    <xf numFmtId="169" fontId="71" fillId="0" borderId="0" xfId="0" applyNumberFormat="1" applyFont="1" applyAlignment="1">
      <alignment horizontal="center"/>
    </xf>
    <xf numFmtId="0" fontId="71" fillId="0" borderId="0" xfId="0" applyFont="1" applyFill="1" applyAlignment="1">
      <alignment horizontal="center" vertical="center" wrapText="1"/>
    </xf>
    <xf numFmtId="0" fontId="71" fillId="0" borderId="0" xfId="0" applyFont="1" applyFill="1" applyAlignment="1">
      <alignment horizontal="center"/>
    </xf>
    <xf numFmtId="2" fontId="21" fillId="0" borderId="0" xfId="0" applyNumberFormat="1" applyFont="1" applyAlignment="1">
      <alignment horizontal="center"/>
    </xf>
    <xf numFmtId="169" fontId="21" fillId="0" borderId="0" xfId="0" applyNumberFormat="1" applyFont="1" applyAlignment="1">
      <alignment horizontal="center"/>
    </xf>
    <xf numFmtId="170" fontId="21" fillId="0" borderId="0" xfId="0" applyNumberFormat="1" applyFont="1" applyAlignment="1">
      <alignment horizontal="center"/>
    </xf>
    <xf numFmtId="0" fontId="22" fillId="0" borderId="0" xfId="0" applyFont="1" applyAlignment="1">
      <alignment horizontal="center"/>
    </xf>
    <xf numFmtId="169" fontId="96" fillId="0" borderId="0" xfId="0" applyNumberFormat="1" applyFont="1" applyFill="1" applyAlignment="1">
      <alignment horizontal="center"/>
    </xf>
    <xf numFmtId="0" fontId="96" fillId="0" borderId="57" xfId="0" applyFont="1" applyFill="1" applyBorder="1" applyAlignment="1">
      <alignment horizontal="center" vertical="center" wrapText="1"/>
    </xf>
    <xf numFmtId="169" fontId="71" fillId="0" borderId="0" xfId="0" applyNumberFormat="1" applyFont="1" applyFill="1" applyAlignment="1">
      <alignment horizontal="center"/>
    </xf>
    <xf numFmtId="0" fontId="96" fillId="0" borderId="0" xfId="0" applyFont="1" applyFill="1" applyAlignment="1">
      <alignment horizontal="center" vertical="center" wrapText="1"/>
    </xf>
    <xf numFmtId="169" fontId="21" fillId="0" borderId="0" xfId="0" applyNumberFormat="1" applyFont="1" applyFill="1" applyAlignment="1">
      <alignment horizontal="center"/>
    </xf>
    <xf numFmtId="0" fontId="20" fillId="0" borderId="0" xfId="0" applyFont="1" applyAlignment="1">
      <alignment horizontal="center"/>
    </xf>
    <xf numFmtId="2" fontId="20" fillId="0" borderId="0" xfId="0" applyNumberFormat="1" applyFont="1" applyAlignment="1">
      <alignment horizontal="center"/>
    </xf>
    <xf numFmtId="169" fontId="20" fillId="0" borderId="0" xfId="0" applyNumberFormat="1" applyFont="1" applyAlignment="1">
      <alignment horizontal="center"/>
    </xf>
    <xf numFmtId="0" fontId="20" fillId="0" borderId="0" xfId="0" applyFont="1" applyFill="1" applyAlignment="1">
      <alignment horizontal="center" vertical="center" wrapText="1"/>
    </xf>
    <xf numFmtId="170" fontId="20" fillId="0" borderId="0" xfId="0" applyNumberFormat="1" applyFont="1" applyAlignment="1">
      <alignment horizontal="center"/>
    </xf>
    <xf numFmtId="11" fontId="20" fillId="0" borderId="0" xfId="0" applyNumberFormat="1" applyFont="1" applyAlignment="1">
      <alignment horizontal="center"/>
    </xf>
    <xf numFmtId="0" fontId="23" fillId="0" borderId="0" xfId="0" applyFont="1" applyAlignment="1">
      <alignment horizontal="center"/>
    </xf>
    <xf numFmtId="2" fontId="10" fillId="0" borderId="0" xfId="0" applyNumberFormat="1" applyFont="1" applyFill="1" applyAlignment="1">
      <alignment horizontal="center"/>
    </xf>
    <xf numFmtId="0" fontId="71" fillId="0" borderId="57" xfId="0" applyFont="1" applyFill="1" applyBorder="1" applyAlignment="1">
      <alignment horizontal="center" vertical="center" wrapText="1"/>
    </xf>
    <xf numFmtId="0" fontId="20" fillId="0" borderId="34" xfId="0" applyFont="1" applyFill="1" applyBorder="1" applyAlignment="1">
      <alignment horizontal="center" vertical="center" wrapText="1"/>
    </xf>
    <xf numFmtId="2" fontId="20" fillId="0" borderId="34" xfId="0" applyNumberFormat="1" applyFont="1" applyFill="1" applyBorder="1" applyAlignment="1">
      <alignment horizontal="center" vertical="center" wrapText="1"/>
    </xf>
    <xf numFmtId="169" fontId="20" fillId="0" borderId="34" xfId="0" applyNumberFormat="1" applyFont="1" applyFill="1" applyBorder="1" applyAlignment="1">
      <alignment horizontal="center" vertical="center" wrapText="1"/>
    </xf>
    <xf numFmtId="170" fontId="20" fillId="0" borderId="34" xfId="0" applyNumberFormat="1" applyFont="1" applyFill="1" applyBorder="1" applyAlignment="1">
      <alignment horizontal="center" vertical="center" wrapText="1"/>
    </xf>
    <xf numFmtId="0" fontId="20" fillId="0" borderId="34" xfId="0" applyFont="1" applyBorder="1" applyAlignment="1">
      <alignment horizontal="center" vertical="center"/>
    </xf>
    <xf numFmtId="11" fontId="20" fillId="0" borderId="34" xfId="0" applyNumberFormat="1" applyFont="1" applyBorder="1" applyAlignment="1">
      <alignment horizontal="center" vertical="center" wrapText="1"/>
    </xf>
    <xf numFmtId="0" fontId="20" fillId="0" borderId="34" xfId="0" applyFont="1" applyBorder="1" applyAlignment="1">
      <alignment horizontal="center" vertical="center" wrapText="1"/>
    </xf>
    <xf numFmtId="0" fontId="17" fillId="0" borderId="0" xfId="0" applyFont="1"/>
    <xf numFmtId="0" fontId="17" fillId="0" borderId="0" xfId="0" applyFont="1" applyAlignment="1">
      <alignment vertical="center"/>
    </xf>
    <xf numFmtId="0" fontId="10" fillId="0" borderId="42" xfId="486" applyFont="1" applyFill="1" applyBorder="1" applyAlignment="1">
      <alignment horizontal="center" vertical="center" wrapText="1"/>
    </xf>
    <xf numFmtId="0" fontId="10" fillId="0" borderId="42" xfId="486" applyFont="1" applyFill="1" applyBorder="1" applyAlignment="1">
      <alignment horizontal="center" vertical="center"/>
    </xf>
    <xf numFmtId="0" fontId="16" fillId="0" borderId="42" xfId="486" applyFont="1" applyFill="1" applyBorder="1" applyAlignment="1">
      <alignment horizontal="center" vertical="center"/>
    </xf>
    <xf numFmtId="49" fontId="10" fillId="0" borderId="42" xfId="486" applyNumberFormat="1" applyFont="1" applyBorder="1" applyAlignment="1">
      <alignment horizontal="center" vertical="center"/>
    </xf>
    <xf numFmtId="0" fontId="10" fillId="0" borderId="42" xfId="486" applyFont="1" applyBorder="1" applyAlignment="1">
      <alignment horizontal="center" vertical="center" wrapText="1"/>
    </xf>
    <xf numFmtId="164" fontId="10" fillId="0" borderId="42" xfId="486" applyNumberFormat="1" applyFont="1" applyBorder="1" applyAlignment="1">
      <alignment horizontal="center" vertical="center"/>
    </xf>
    <xf numFmtId="164" fontId="20" fillId="0" borderId="42" xfId="486" applyNumberFormat="1" applyFont="1" applyBorder="1" applyAlignment="1">
      <alignment horizontal="center" vertical="center"/>
    </xf>
    <xf numFmtId="11" fontId="20" fillId="0" borderId="42" xfId="486" applyNumberFormat="1" applyFont="1" applyBorder="1" applyAlignment="1">
      <alignment horizontal="center" vertical="center"/>
    </xf>
    <xf numFmtId="0" fontId="10" fillId="0" borderId="39" xfId="486" applyFont="1" applyFill="1" applyBorder="1" applyAlignment="1">
      <alignment horizontal="center" vertical="center" wrapText="1"/>
    </xf>
    <xf numFmtId="0" fontId="10" fillId="0" borderId="40" xfId="486" applyFont="1" applyFill="1" applyBorder="1" applyAlignment="1">
      <alignment horizontal="center" vertical="center"/>
    </xf>
    <xf numFmtId="11" fontId="20" fillId="0" borderId="8" xfId="486" applyNumberFormat="1" applyFont="1" applyBorder="1" applyAlignment="1">
      <alignment horizontal="center" vertical="center"/>
    </xf>
    <xf numFmtId="0" fontId="10" fillId="0" borderId="40" xfId="486" applyFont="1" applyFill="1" applyBorder="1" applyAlignment="1">
      <alignment horizontal="center" vertical="center" wrapText="1"/>
    </xf>
    <xf numFmtId="0" fontId="10" fillId="0" borderId="40" xfId="486" applyFont="1" applyBorder="1" applyAlignment="1">
      <alignment horizontal="center" vertical="center"/>
    </xf>
    <xf numFmtId="164" fontId="10" fillId="0" borderId="40" xfId="486" applyNumberFormat="1" applyFont="1" applyBorder="1" applyAlignment="1">
      <alignment horizontal="center" vertical="center"/>
    </xf>
    <xf numFmtId="164" fontId="20" fillId="0" borderId="40" xfId="486" applyNumberFormat="1" applyFont="1" applyBorder="1" applyAlignment="1">
      <alignment horizontal="center" vertical="center"/>
    </xf>
    <xf numFmtId="11" fontId="20" fillId="0" borderId="40" xfId="486" applyNumberFormat="1" applyFont="1" applyBorder="1" applyAlignment="1">
      <alignment horizontal="center" vertical="center"/>
    </xf>
    <xf numFmtId="164" fontId="20" fillId="0" borderId="43" xfId="486" applyNumberFormat="1" applyFont="1" applyBorder="1" applyAlignment="1">
      <alignment horizontal="center" vertical="center"/>
    </xf>
    <xf numFmtId="2" fontId="23" fillId="0" borderId="42" xfId="486" applyNumberFormat="1" applyFont="1" applyBorder="1" applyAlignment="1">
      <alignment horizontal="center" vertical="center"/>
    </xf>
    <xf numFmtId="2" fontId="20" fillId="0" borderId="8" xfId="486" applyNumberFormat="1" applyFont="1" applyBorder="1" applyAlignment="1">
      <alignment horizontal="center" vertical="center"/>
    </xf>
    <xf numFmtId="2" fontId="23" fillId="0" borderId="40" xfId="486" applyNumberFormat="1" applyFont="1" applyBorder="1" applyAlignment="1">
      <alignment horizontal="center" vertical="center"/>
    </xf>
    <xf numFmtId="0" fontId="17" fillId="0" borderId="37" xfId="486" applyFont="1" applyBorder="1" applyAlignment="1">
      <alignment horizontal="center"/>
    </xf>
    <xf numFmtId="0" fontId="17" fillId="0" borderId="38" xfId="486" applyFont="1" applyBorder="1" applyAlignment="1">
      <alignment horizontal="center"/>
    </xf>
    <xf numFmtId="0" fontId="15" fillId="0" borderId="0" xfId="486" applyFont="1" applyAlignment="1">
      <alignment horizontal="center"/>
    </xf>
    <xf numFmtId="0" fontId="10" fillId="0" borderId="0" xfId="486" applyFont="1" applyAlignment="1">
      <alignment horizontal="center"/>
    </xf>
    <xf numFmtId="0" fontId="10" fillId="0" borderId="0" xfId="486" applyFont="1" applyFill="1" applyAlignment="1">
      <alignment horizontal="center"/>
    </xf>
    <xf numFmtId="0" fontId="16" fillId="0" borderId="0" xfId="486" applyFont="1" applyAlignment="1">
      <alignment horizontal="center"/>
    </xf>
    <xf numFmtId="164" fontId="10" fillId="0" borderId="0" xfId="486" applyNumberFormat="1" applyFont="1" applyAlignment="1">
      <alignment horizontal="center"/>
    </xf>
    <xf numFmtId="11" fontId="10" fillId="0" borderId="0" xfId="486" applyNumberFormat="1" applyFont="1" applyAlignment="1">
      <alignment horizontal="center"/>
    </xf>
    <xf numFmtId="11" fontId="10" fillId="0" borderId="2" xfId="486" applyNumberFormat="1" applyFont="1" applyBorder="1" applyAlignment="1">
      <alignment horizontal="center"/>
    </xf>
    <xf numFmtId="0" fontId="10" fillId="0" borderId="1" xfId="486" applyFont="1" applyBorder="1" applyAlignment="1">
      <alignment horizontal="center"/>
    </xf>
    <xf numFmtId="164" fontId="10" fillId="0" borderId="1" xfId="486" applyNumberFormat="1" applyFont="1" applyBorder="1" applyAlignment="1">
      <alignment horizontal="center"/>
    </xf>
    <xf numFmtId="2" fontId="10" fillId="0" borderId="2" xfId="486" applyNumberFormat="1" applyFont="1" applyBorder="1" applyAlignment="1">
      <alignment horizontal="center"/>
    </xf>
    <xf numFmtId="0" fontId="10" fillId="0" borderId="2" xfId="486" applyFont="1" applyBorder="1" applyAlignment="1">
      <alignment horizontal="center"/>
    </xf>
    <xf numFmtId="2" fontId="10" fillId="0" borderId="0" xfId="486" applyNumberFormat="1" applyFont="1" applyAlignment="1">
      <alignment horizontal="center"/>
    </xf>
    <xf numFmtId="0" fontId="70" fillId="0" borderId="1" xfId="486" applyFont="1" applyBorder="1" applyAlignment="1">
      <alignment horizontal="center"/>
    </xf>
    <xf numFmtId="0" fontId="70" fillId="0" borderId="0" xfId="486" applyFont="1" applyAlignment="1">
      <alignment horizontal="center"/>
    </xf>
    <xf numFmtId="11" fontId="70" fillId="0" borderId="0" xfId="486" applyNumberFormat="1" applyFont="1" applyAlignment="1">
      <alignment horizontal="center"/>
    </xf>
    <xf numFmtId="0" fontId="17" fillId="0" borderId="0" xfId="486" applyFont="1" applyFill="1" applyBorder="1" applyAlignment="1">
      <alignment horizontal="center"/>
    </xf>
    <xf numFmtId="0" fontId="15" fillId="0" borderId="0" xfId="486" applyFont="1" applyBorder="1" applyAlignment="1">
      <alignment horizontal="center"/>
    </xf>
    <xf numFmtId="49" fontId="10" fillId="0" borderId="0" xfId="486" applyNumberFormat="1" applyFont="1" applyBorder="1" applyAlignment="1">
      <alignment horizontal="center"/>
    </xf>
    <xf numFmtId="164" fontId="20" fillId="0" borderId="0" xfId="486" applyNumberFormat="1" applyFont="1" applyBorder="1" applyAlignment="1">
      <alignment horizontal="center"/>
    </xf>
    <xf numFmtId="11" fontId="20" fillId="0" borderId="0" xfId="486" applyNumberFormat="1" applyFont="1" applyBorder="1" applyAlignment="1">
      <alignment horizontal="center"/>
    </xf>
    <xf numFmtId="0" fontId="10" fillId="0" borderId="4" xfId="486" applyFont="1" applyFill="1" applyBorder="1" applyAlignment="1">
      <alignment horizontal="center"/>
    </xf>
    <xf numFmtId="0" fontId="17" fillId="0" borderId="0" xfId="486" applyFont="1" applyAlignment="1">
      <alignment horizontal="left"/>
    </xf>
    <xf numFmtId="0" fontId="70" fillId="0" borderId="0" xfId="486" applyFont="1" applyAlignment="1">
      <alignment horizontal="left"/>
    </xf>
    <xf numFmtId="0" fontId="17" fillId="0" borderId="0" xfId="486" applyFont="1" applyAlignment="1"/>
    <xf numFmtId="0" fontId="17" fillId="0" borderId="0" xfId="486" applyFont="1"/>
    <xf numFmtId="170" fontId="17" fillId="0" borderId="0" xfId="0" applyNumberFormat="1" applyFont="1" applyAlignment="1">
      <alignment horizontal="center"/>
    </xf>
    <xf numFmtId="0" fontId="17" fillId="0" borderId="0" xfId="0" applyFont="1" applyBorder="1"/>
    <xf numFmtId="169" fontId="17" fillId="0" borderId="0" xfId="0" applyNumberFormat="1" applyFont="1"/>
    <xf numFmtId="2" fontId="17" fillId="0" borderId="0" xfId="0" applyNumberFormat="1" applyFont="1"/>
    <xf numFmtId="0" fontId="10" fillId="0" borderId="34" xfId="486" applyFont="1" applyFill="1" applyBorder="1" applyAlignment="1">
      <alignment horizontal="center" vertical="center" wrapText="1"/>
    </xf>
    <xf numFmtId="0" fontId="10" fillId="0" borderId="34" xfId="486" applyFont="1" applyFill="1" applyBorder="1" applyAlignment="1">
      <alignment horizontal="center" vertical="center"/>
    </xf>
    <xf numFmtId="0" fontId="20" fillId="0" borderId="53" xfId="0" applyFont="1" applyFill="1" applyBorder="1" applyAlignment="1">
      <alignment horizontal="center" vertical="center" wrapText="1"/>
    </xf>
    <xf numFmtId="171" fontId="21" fillId="0" borderId="0" xfId="0" applyNumberFormat="1" applyFont="1" applyAlignment="1">
      <alignment horizontal="center"/>
    </xf>
    <xf numFmtId="0" fontId="17" fillId="0" borderId="1" xfId="0" applyFont="1" applyBorder="1" applyAlignment="1">
      <alignment horizontal="center"/>
    </xf>
    <xf numFmtId="0" fontId="17" fillId="0" borderId="0" xfId="0" applyFont="1" applyAlignment="1">
      <alignment horizontal="center"/>
    </xf>
    <xf numFmtId="11" fontId="17" fillId="0" borderId="0" xfId="0" applyNumberFormat="1" applyFont="1" applyAlignment="1">
      <alignment horizontal="center"/>
    </xf>
    <xf numFmtId="2" fontId="17" fillId="0" borderId="0" xfId="0" applyNumberFormat="1" applyFont="1" applyAlignment="1">
      <alignment horizontal="center"/>
    </xf>
    <xf numFmtId="171" fontId="20" fillId="0" borderId="0" xfId="0" applyNumberFormat="1" applyFont="1" applyAlignment="1">
      <alignment horizontal="center"/>
    </xf>
    <xf numFmtId="0" fontId="20" fillId="0" borderId="1" xfId="0" applyFont="1" applyBorder="1" applyAlignment="1">
      <alignment horizontal="center"/>
    </xf>
    <xf numFmtId="2" fontId="17" fillId="0" borderId="0" xfId="0" applyNumberFormat="1" applyFont="1" applyFill="1" applyAlignment="1">
      <alignment horizontal="center"/>
    </xf>
    <xf numFmtId="0" fontId="21" fillId="0" borderId="1" xfId="0" applyFont="1" applyBorder="1" applyAlignment="1">
      <alignment horizontal="center"/>
    </xf>
    <xf numFmtId="0" fontId="17" fillId="0" borderId="1" xfId="0" applyFont="1" applyBorder="1"/>
    <xf numFmtId="0" fontId="17" fillId="0" borderId="1" xfId="0" applyFont="1" applyBorder="1" applyAlignment="1">
      <alignment horizontal="center" vertical="center"/>
    </xf>
    <xf numFmtId="0" fontId="21" fillId="0" borderId="1" xfId="0" applyFont="1" applyBorder="1" applyAlignment="1">
      <alignment horizontal="center" vertical="center"/>
    </xf>
    <xf numFmtId="0" fontId="10" fillId="0" borderId="1" xfId="0" applyFont="1" applyBorder="1"/>
    <xf numFmtId="171" fontId="21" fillId="0" borderId="6" xfId="0" applyNumberFormat="1" applyFont="1" applyBorder="1" applyAlignment="1">
      <alignment horizontal="center"/>
    </xf>
    <xf numFmtId="0" fontId="17" fillId="0" borderId="6" xfId="0" applyFont="1" applyBorder="1" applyAlignment="1">
      <alignment horizontal="center"/>
    </xf>
    <xf numFmtId="0" fontId="21" fillId="0" borderId="6" xfId="0" applyFont="1" applyBorder="1" applyAlignment="1">
      <alignment horizontal="center"/>
    </xf>
    <xf numFmtId="11" fontId="17" fillId="0" borderId="6" xfId="0" applyNumberFormat="1" applyFont="1" applyBorder="1" applyAlignment="1">
      <alignment horizontal="center"/>
    </xf>
    <xf numFmtId="0" fontId="17" fillId="0" borderId="58" xfId="0" applyFont="1" applyBorder="1" applyAlignment="1">
      <alignment horizontal="center"/>
    </xf>
    <xf numFmtId="170" fontId="21" fillId="0" borderId="6" xfId="0" applyNumberFormat="1" applyFont="1" applyBorder="1" applyAlignment="1">
      <alignment horizontal="center"/>
    </xf>
    <xf numFmtId="2" fontId="17" fillId="0" borderId="6" xfId="0" applyNumberFormat="1" applyFont="1" applyBorder="1" applyAlignment="1">
      <alignment horizontal="center"/>
    </xf>
    <xf numFmtId="171" fontId="17" fillId="0" borderId="0" xfId="0" applyNumberFormat="1" applyFont="1" applyBorder="1" applyAlignment="1">
      <alignment horizontal="left" vertical="center"/>
    </xf>
    <xf numFmtId="0" fontId="17" fillId="0" borderId="0" xfId="0" applyFont="1" applyBorder="1" applyAlignment="1">
      <alignment horizontal="center"/>
    </xf>
    <xf numFmtId="11" fontId="17" fillId="0" borderId="0" xfId="0" applyNumberFormat="1" applyFont="1" applyBorder="1" applyAlignment="1">
      <alignment horizontal="center"/>
    </xf>
    <xf numFmtId="170" fontId="17" fillId="0" borderId="0" xfId="0" applyNumberFormat="1" applyFont="1" applyBorder="1" applyAlignment="1">
      <alignment horizontal="center"/>
    </xf>
    <xf numFmtId="0" fontId="71" fillId="0" borderId="0" xfId="0" applyFont="1" applyFill="1" applyBorder="1" applyAlignment="1">
      <alignment horizontal="center" vertical="center" wrapText="1"/>
    </xf>
    <xf numFmtId="169" fontId="71" fillId="0" borderId="0" xfId="0" applyNumberFormat="1" applyFont="1" applyBorder="1" applyAlignment="1">
      <alignment horizontal="center"/>
    </xf>
    <xf numFmtId="2" fontId="17" fillId="0" borderId="0" xfId="0" applyNumberFormat="1" applyFont="1" applyBorder="1" applyAlignment="1">
      <alignment horizontal="center"/>
    </xf>
    <xf numFmtId="171" fontId="17" fillId="0" borderId="0" xfId="0" applyNumberFormat="1" applyFont="1" applyBorder="1" applyAlignment="1">
      <alignment horizontal="left"/>
    </xf>
    <xf numFmtId="171" fontId="17" fillId="0" borderId="0" xfId="0" applyNumberFormat="1" applyFont="1"/>
    <xf numFmtId="0" fontId="17" fillId="0" borderId="0" xfId="0" applyFont="1" applyAlignment="1">
      <alignment horizontal="left"/>
    </xf>
    <xf numFmtId="0" fontId="21" fillId="0" borderId="0" xfId="486" applyFont="1" applyFill="1" applyAlignment="1">
      <alignment horizontal="center"/>
    </xf>
    <xf numFmtId="0" fontId="20" fillId="0" borderId="0" xfId="486" applyFont="1" applyFill="1" applyAlignment="1">
      <alignment horizontal="center"/>
    </xf>
    <xf numFmtId="164" fontId="20" fillId="0" borderId="0" xfId="0" applyNumberFormat="1" applyFont="1" applyBorder="1" applyAlignment="1">
      <alignment horizontal="center" vertical="center" wrapText="1"/>
    </xf>
    <xf numFmtId="0" fontId="20" fillId="0" borderId="0" xfId="0" applyFont="1" applyFill="1" applyBorder="1"/>
    <xf numFmtId="0" fontId="22" fillId="0" borderId="0" xfId="0" applyFont="1" applyFill="1" applyBorder="1"/>
    <xf numFmtId="0" fontId="70" fillId="0" borderId="0" xfId="0" applyFont="1" applyBorder="1" applyAlignment="1">
      <alignment vertical="center"/>
    </xf>
    <xf numFmtId="0" fontId="70" fillId="0" borderId="0" xfId="0" applyFont="1" applyBorder="1" applyAlignment="1">
      <alignment horizontal="center" vertical="center"/>
    </xf>
    <xf numFmtId="164" fontId="70" fillId="0" borderId="0" xfId="0" applyNumberFormat="1" applyFont="1" applyBorder="1" applyAlignment="1">
      <alignment horizontal="center" vertical="center"/>
    </xf>
    <xf numFmtId="2" fontId="70" fillId="0" borderId="0" xfId="0" applyNumberFormat="1" applyFont="1" applyBorder="1" applyAlignment="1">
      <alignment horizontal="center" vertical="center"/>
    </xf>
    <xf numFmtId="0" fontId="0" fillId="0" borderId="0" xfId="0" applyBorder="1" applyAlignment="1">
      <alignment vertical="center"/>
    </xf>
    <xf numFmtId="11" fontId="70"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2" fontId="0" fillId="0" borderId="0" xfId="0" applyNumberFormat="1" applyAlignment="1">
      <alignment horizontal="center"/>
    </xf>
    <xf numFmtId="2" fontId="0" fillId="0" borderId="0" xfId="0" applyNumberFormat="1" applyBorder="1" applyAlignment="1">
      <alignment horizontal="center"/>
    </xf>
    <xf numFmtId="11" fontId="0" fillId="0" borderId="33" xfId="0" applyNumberFormat="1" applyBorder="1" applyAlignment="1">
      <alignment horizontal="center"/>
    </xf>
    <xf numFmtId="0" fontId="84" fillId="0" borderId="0" xfId="0" applyFont="1" applyBorder="1" applyAlignment="1">
      <alignment horizontal="center" vertical="center"/>
    </xf>
    <xf numFmtId="0" fontId="83" fillId="0" borderId="0" xfId="0" applyFont="1" applyFill="1" applyBorder="1" applyAlignment="1">
      <alignment horizontal="center" vertical="center"/>
    </xf>
    <xf numFmtId="11" fontId="20" fillId="0" borderId="2" xfId="0" applyNumberFormat="1" applyFont="1" applyBorder="1" applyAlignment="1">
      <alignment horizontal="center" vertical="center"/>
    </xf>
    <xf numFmtId="0" fontId="70" fillId="0" borderId="0" xfId="0" applyFont="1" applyBorder="1" applyAlignment="1">
      <alignment vertical="center" wrapText="1"/>
    </xf>
    <xf numFmtId="0" fontId="0" fillId="0" borderId="0" xfId="0" applyAlignment="1">
      <alignment wrapText="1"/>
    </xf>
    <xf numFmtId="0" fontId="0" fillId="0" borderId="0" xfId="0" applyBorder="1" applyAlignment="1">
      <alignment wrapText="1"/>
    </xf>
    <xf numFmtId="164" fontId="83" fillId="0" borderId="0" xfId="0" applyNumberFormat="1" applyFont="1" applyFill="1" applyBorder="1" applyAlignment="1">
      <alignment horizontal="center" vertical="center"/>
    </xf>
    <xf numFmtId="0" fontId="83" fillId="0" borderId="0" xfId="0"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11" fontId="20" fillId="0" borderId="2" xfId="0" applyNumberFormat="1" applyFont="1" applyFill="1" applyBorder="1" applyAlignment="1">
      <alignment horizontal="center" vertical="center"/>
    </xf>
    <xf numFmtId="11" fontId="0" fillId="0" borderId="0" xfId="0" applyNumberFormat="1" applyFont="1" applyBorder="1" applyAlignment="1">
      <alignment horizontal="center" vertical="center" wrapText="1"/>
    </xf>
    <xf numFmtId="11" fontId="0" fillId="0" borderId="5" xfId="0" applyNumberFormat="1" applyFont="1" applyBorder="1" applyAlignment="1">
      <alignment horizontal="center" vertical="center" wrapText="1"/>
    </xf>
    <xf numFmtId="11" fontId="0" fillId="0" borderId="2" xfId="0" applyNumberFormat="1" applyFont="1" applyFill="1" applyBorder="1" applyAlignment="1">
      <alignment horizontal="center" vertical="center"/>
    </xf>
    <xf numFmtId="11" fontId="0" fillId="0" borderId="5" xfId="0" applyNumberFormat="1" applyFont="1" applyFill="1" applyBorder="1" applyAlignment="1">
      <alignment horizontal="center" vertical="center"/>
    </xf>
    <xf numFmtId="0" fontId="20" fillId="0" borderId="0" xfId="0" applyFont="1" applyFill="1" applyBorder="1" applyAlignment="1">
      <alignment horizontal="center"/>
    </xf>
    <xf numFmtId="0" fontId="28" fillId="0" borderId="0" xfId="0" applyFont="1" applyFill="1" applyBorder="1"/>
    <xf numFmtId="0" fontId="82" fillId="0" borderId="0" xfId="0" applyFont="1" applyFill="1" applyBorder="1" applyAlignment="1">
      <alignment horizontal="center" vertical="center"/>
    </xf>
    <xf numFmtId="164" fontId="10" fillId="56" borderId="40" xfId="0" applyNumberFormat="1" applyFont="1" applyFill="1" applyBorder="1" applyAlignment="1">
      <alignment horizontal="center" wrapText="1"/>
    </xf>
    <xf numFmtId="0" fontId="0" fillId="0" borderId="0" xfId="0" applyFill="1" applyAlignment="1">
      <alignment horizontal="left" vertical="center"/>
    </xf>
    <xf numFmtId="0" fontId="0" fillId="0" borderId="0" xfId="472" applyFont="1" applyFill="1" applyAlignment="1" applyProtection="1">
      <alignment horizontal="left" vertical="center" wrapText="1"/>
      <protection locked="0"/>
    </xf>
    <xf numFmtId="0" fontId="0" fillId="0" borderId="0" xfId="472" applyFont="1" applyFill="1" applyAlignment="1">
      <alignment horizontal="left" vertical="center" wrapText="1"/>
    </xf>
    <xf numFmtId="0" fontId="0" fillId="0" borderId="0" xfId="473" applyFont="1" applyFill="1" applyAlignment="1">
      <alignment horizontal="left"/>
    </xf>
    <xf numFmtId="0" fontId="0" fillId="0" borderId="0" xfId="0" applyFont="1" applyFill="1" applyAlignment="1" applyProtection="1">
      <alignment horizontal="left" wrapText="1"/>
      <protection locked="0"/>
    </xf>
    <xf numFmtId="0" fontId="0" fillId="0" borderId="0" xfId="0"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20" fillId="0" borderId="7" xfId="0" applyFont="1" applyFill="1" applyBorder="1" applyAlignment="1">
      <alignment horizontal="center" vertical="center" wrapText="1"/>
    </xf>
    <xf numFmtId="0" fontId="7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1" xfId="0" applyFont="1" applyBorder="1" applyAlignment="1">
      <alignment horizontal="center" vertical="center" wrapText="1"/>
    </xf>
    <xf numFmtId="164" fontId="20" fillId="0" borderId="1" xfId="0" applyNumberFormat="1" applyFont="1" applyBorder="1" applyAlignment="1">
      <alignment horizontal="center" vertical="center"/>
    </xf>
    <xf numFmtId="11" fontId="83" fillId="0" borderId="0" xfId="0" applyNumberFormat="1" applyFont="1" applyFill="1" applyBorder="1" applyAlignment="1">
      <alignment horizontal="center" vertical="center"/>
    </xf>
    <xf numFmtId="0" fontId="83" fillId="0" borderId="1" xfId="0" applyFont="1" applyFill="1" applyBorder="1" applyAlignment="1">
      <alignment horizontal="center" vertical="center"/>
    </xf>
    <xf numFmtId="0" fontId="0" fillId="0" borderId="1" xfId="0" applyFont="1" applyFill="1" applyBorder="1" applyAlignment="1">
      <alignment horizontal="center"/>
    </xf>
    <xf numFmtId="164" fontId="10" fillId="56" borderId="40" xfId="0" applyNumberFormat="1" applyFont="1" applyFill="1" applyBorder="1" applyAlignment="1">
      <alignment horizontal="center" vertical="center" wrapText="1"/>
    </xf>
    <xf numFmtId="164" fontId="20" fillId="0" borderId="0" xfId="0" applyNumberFormat="1" applyFont="1" applyFill="1" applyAlignment="1">
      <alignment horizontal="center" vertical="center"/>
    </xf>
    <xf numFmtId="11" fontId="20" fillId="0" borderId="0" xfId="0" applyNumberFormat="1" applyFont="1" applyFill="1" applyAlignment="1">
      <alignment horizontal="center" vertical="center"/>
    </xf>
    <xf numFmtId="164" fontId="21" fillId="0" borderId="0" xfId="0" applyNumberFormat="1" applyFont="1" applyFill="1" applyAlignment="1">
      <alignment horizontal="center" vertical="center"/>
    </xf>
    <xf numFmtId="11" fontId="21" fillId="0" borderId="0" xfId="0" applyNumberFormat="1" applyFont="1" applyFill="1" applyAlignment="1">
      <alignment horizontal="center" vertical="center"/>
    </xf>
    <xf numFmtId="0" fontId="20" fillId="0" borderId="43" xfId="0" applyFont="1" applyFill="1" applyBorder="1" applyAlignment="1">
      <alignment horizontal="center" vertical="center" wrapText="1"/>
    </xf>
    <xf numFmtId="0" fontId="83" fillId="0" borderId="42" xfId="0" applyFont="1" applyFill="1" applyBorder="1" applyAlignment="1">
      <alignment horizontal="center" vertical="center" wrapText="1"/>
    </xf>
    <xf numFmtId="0" fontId="20" fillId="0" borderId="42" xfId="0"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0" fontId="10" fillId="0" borderId="42" xfId="474" applyFont="1" applyFill="1" applyBorder="1" applyAlignment="1">
      <alignment horizontal="center" vertical="center" wrapText="1"/>
    </xf>
    <xf numFmtId="0" fontId="0" fillId="0" borderId="0" xfId="474" applyFont="1" applyAlignment="1">
      <alignment horizontal="center" vertical="center" wrapText="1"/>
    </xf>
    <xf numFmtId="0" fontId="0" fillId="0" borderId="0" xfId="474" applyFont="1" applyFill="1" applyAlignment="1">
      <alignment horizontal="center" vertical="center"/>
    </xf>
    <xf numFmtId="0" fontId="0" fillId="0" borderId="0" xfId="0" applyFont="1" applyFill="1" applyBorder="1" applyAlignment="1">
      <alignment horizontal="center" vertical="center"/>
    </xf>
    <xf numFmtId="20" fontId="0" fillId="0" borderId="0" xfId="0" applyNumberFormat="1" applyFont="1" applyFill="1" applyBorder="1" applyAlignment="1">
      <alignment horizontal="center"/>
    </xf>
    <xf numFmtId="0" fontId="0" fillId="0" borderId="0" xfId="0" applyFont="1" applyFill="1" applyBorder="1" applyAlignment="1">
      <alignment horizontal="left" vertical="center"/>
    </xf>
    <xf numFmtId="11" fontId="21" fillId="0" borderId="4" xfId="0" applyNumberFormat="1" applyFont="1" applyFill="1" applyBorder="1" applyAlignment="1">
      <alignment horizontal="center"/>
    </xf>
    <xf numFmtId="0" fontId="64" fillId="0" borderId="0" xfId="0" applyFont="1" applyFill="1" applyBorder="1" applyAlignment="1">
      <alignment horizontal="lef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17" fillId="0" borderId="0" xfId="0" applyFont="1" applyFill="1" applyAlignment="1">
      <alignment horizontal="center" vertical="center" wrapText="1"/>
    </xf>
    <xf numFmtId="164" fontId="17" fillId="0" borderId="0" xfId="0" applyNumberFormat="1" applyFont="1" applyFill="1" applyAlignment="1">
      <alignment horizontal="center" vertical="center"/>
    </xf>
    <xf numFmtId="11" fontId="17" fillId="0" borderId="0" xfId="0" applyNumberFormat="1" applyFont="1" applyFill="1" applyAlignment="1">
      <alignment horizontal="center" vertical="center"/>
    </xf>
    <xf numFmtId="3" fontId="17" fillId="0" borderId="0" xfId="0" applyNumberFormat="1" applyFont="1" applyFill="1" applyAlignment="1">
      <alignment horizontal="center" vertical="center"/>
    </xf>
    <xf numFmtId="169" fontId="17" fillId="0" borderId="0" xfId="0" applyNumberFormat="1" applyFont="1" applyFill="1" applyAlignment="1">
      <alignment horizontal="center" vertical="center"/>
    </xf>
    <xf numFmtId="0" fontId="17" fillId="0" borderId="0" xfId="0" applyFont="1" applyFill="1" applyBorder="1" applyAlignment="1">
      <alignment horizontal="center" vertical="center"/>
    </xf>
    <xf numFmtId="3" fontId="17" fillId="0" borderId="0"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xf>
    <xf numFmtId="169" fontId="17" fillId="0" borderId="4" xfId="0" applyNumberFormat="1" applyFont="1" applyFill="1" applyBorder="1" applyAlignment="1">
      <alignment horizontal="center" vertical="center"/>
    </xf>
    <xf numFmtId="0" fontId="64" fillId="0" borderId="0" xfId="0" applyFont="1" applyFill="1" applyAlignment="1">
      <alignment horizontal="center" vertical="center"/>
    </xf>
    <xf numFmtId="0" fontId="64" fillId="0" borderId="0" xfId="0" applyFont="1" applyFill="1" applyBorder="1" applyAlignment="1">
      <alignment horizontal="center" vertical="center"/>
    </xf>
    <xf numFmtId="0" fontId="91" fillId="0" borderId="0" xfId="0" applyFont="1" applyBorder="1" applyAlignment="1">
      <alignment horizontal="center" vertical="center"/>
    </xf>
    <xf numFmtId="0" fontId="83" fillId="0" borderId="0" xfId="0" applyFont="1" applyBorder="1" applyAlignment="1">
      <alignment horizontal="center" vertical="center"/>
    </xf>
    <xf numFmtId="171" fontId="0" fillId="0" borderId="0" xfId="0" applyNumberFormat="1" applyFont="1"/>
    <xf numFmtId="0" fontId="0" fillId="0" borderId="0" xfId="475" applyFont="1"/>
    <xf numFmtId="0" fontId="0" fillId="0" borderId="0" xfId="475" applyFont="1" applyAlignment="1">
      <alignment horizontal="center"/>
    </xf>
    <xf numFmtId="0" fontId="0" fillId="0" borderId="4" xfId="475" applyFont="1" applyBorder="1"/>
    <xf numFmtId="0" fontId="0" fillId="0" borderId="4" xfId="475" applyFont="1" applyBorder="1" applyAlignment="1">
      <alignment horizontal="center"/>
    </xf>
    <xf numFmtId="0" fontId="10" fillId="0" borderId="0" xfId="484" applyFont="1" applyAlignment="1">
      <alignment vertical="center"/>
    </xf>
    <xf numFmtId="0" fontId="17" fillId="0" borderId="0" xfId="484" applyFont="1" applyAlignment="1">
      <alignment horizontal="center"/>
    </xf>
    <xf numFmtId="0" fontId="15" fillId="0" borderId="0" xfId="484" applyFont="1" applyAlignment="1">
      <alignment horizontal="center"/>
    </xf>
    <xf numFmtId="164" fontId="17" fillId="0" borderId="0" xfId="484" applyNumberFormat="1" applyFont="1" applyAlignment="1">
      <alignment horizontal="center"/>
    </xf>
    <xf numFmtId="11" fontId="17" fillId="0" borderId="0" xfId="484" applyNumberFormat="1" applyFont="1" applyAlignment="1">
      <alignment horizontal="center"/>
    </xf>
    <xf numFmtId="0" fontId="17" fillId="0" borderId="0" xfId="484" applyFont="1"/>
    <xf numFmtId="0" fontId="17" fillId="0" borderId="0" xfId="484" applyFont="1" applyFill="1" applyAlignment="1">
      <alignment horizontal="center"/>
    </xf>
    <xf numFmtId="0" fontId="15" fillId="0" borderId="0" xfId="484" applyFont="1" applyFill="1" applyAlignment="1">
      <alignment horizontal="center"/>
    </xf>
    <xf numFmtId="164" fontId="17" fillId="0" borderId="1" xfId="484" applyNumberFormat="1" applyFont="1" applyFill="1" applyBorder="1" applyAlignment="1">
      <alignment horizontal="center"/>
    </xf>
    <xf numFmtId="164" fontId="17" fillId="0" borderId="0" xfId="484" applyNumberFormat="1" applyFont="1" applyFill="1" applyBorder="1" applyAlignment="1">
      <alignment horizontal="center"/>
    </xf>
    <xf numFmtId="11" fontId="17" fillId="0" borderId="2" xfId="484" applyNumberFormat="1" applyFont="1" applyFill="1" applyBorder="1" applyAlignment="1">
      <alignment horizontal="center"/>
    </xf>
    <xf numFmtId="164" fontId="17" fillId="0" borderId="0" xfId="484" applyNumberFormat="1" applyFont="1" applyFill="1" applyAlignment="1">
      <alignment horizontal="center"/>
    </xf>
    <xf numFmtId="11" fontId="17" fillId="0" borderId="0" xfId="484" applyNumberFormat="1" applyFont="1" applyFill="1" applyAlignment="1">
      <alignment horizontal="center"/>
    </xf>
    <xf numFmtId="0" fontId="17" fillId="0" borderId="0" xfId="484" applyFont="1" applyFill="1"/>
    <xf numFmtId="0" fontId="17" fillId="0" borderId="4" xfId="484" applyFont="1" applyFill="1" applyBorder="1" applyAlignment="1">
      <alignment horizontal="center"/>
    </xf>
    <xf numFmtId="0" fontId="15" fillId="0" borderId="4" xfId="484" applyFont="1" applyFill="1" applyBorder="1" applyAlignment="1">
      <alignment horizontal="center"/>
    </xf>
    <xf numFmtId="164" fontId="17" fillId="0" borderId="3" xfId="484" applyNumberFormat="1" applyFont="1" applyFill="1" applyBorder="1" applyAlignment="1">
      <alignment horizontal="center"/>
    </xf>
    <xf numFmtId="164" fontId="17" fillId="0" borderId="4" xfId="484" applyNumberFormat="1" applyFont="1" applyFill="1" applyBorder="1" applyAlignment="1">
      <alignment horizontal="center"/>
    </xf>
    <xf numFmtId="11" fontId="17" fillId="0" borderId="5" xfId="484" applyNumberFormat="1" applyFont="1" applyFill="1" applyBorder="1" applyAlignment="1">
      <alignment horizontal="center"/>
    </xf>
    <xf numFmtId="11" fontId="17" fillId="0" borderId="4" xfId="484" applyNumberFormat="1" applyFont="1" applyFill="1" applyBorder="1" applyAlignment="1">
      <alignment horizontal="center"/>
    </xf>
    <xf numFmtId="0" fontId="17" fillId="0" borderId="0" xfId="485" applyFont="1" applyFill="1" applyAlignment="1">
      <alignment horizontal="center"/>
    </xf>
    <xf numFmtId="164" fontId="17" fillId="0" borderId="0" xfId="485" applyNumberFormat="1" applyFont="1" applyFill="1" applyAlignment="1">
      <alignment horizontal="center"/>
    </xf>
    <xf numFmtId="11" fontId="17" fillId="0" borderId="0" xfId="485" applyNumberFormat="1" applyFont="1" applyFill="1" applyAlignment="1">
      <alignment horizontal="center"/>
    </xf>
    <xf numFmtId="164" fontId="17" fillId="0" borderId="1" xfId="484" applyNumberFormat="1" applyFont="1" applyBorder="1" applyAlignment="1">
      <alignment horizontal="center"/>
    </xf>
    <xf numFmtId="164" fontId="17" fillId="0" borderId="0" xfId="484" applyNumberFormat="1" applyFont="1" applyBorder="1" applyAlignment="1">
      <alignment horizontal="center"/>
    </xf>
    <xf numFmtId="164" fontId="17" fillId="0" borderId="0" xfId="0" applyNumberFormat="1" applyFont="1" applyAlignment="1">
      <alignment horizontal="center"/>
    </xf>
    <xf numFmtId="11" fontId="17" fillId="0" borderId="2" xfId="484" applyNumberFormat="1" applyFont="1" applyBorder="1" applyAlignment="1">
      <alignment horizontal="center"/>
    </xf>
    <xf numFmtId="0" fontId="17" fillId="0" borderId="4" xfId="484" applyFont="1" applyBorder="1" applyAlignment="1">
      <alignment horizontal="center"/>
    </xf>
    <xf numFmtId="0" fontId="15" fillId="0" borderId="4" xfId="484" applyFont="1" applyBorder="1" applyAlignment="1">
      <alignment horizontal="center"/>
    </xf>
    <xf numFmtId="164" fontId="17" fillId="0" borderId="3" xfId="484" applyNumberFormat="1" applyFont="1" applyBorder="1" applyAlignment="1">
      <alignment horizontal="center"/>
    </xf>
    <xf numFmtId="164" fontId="17" fillId="0" borderId="4" xfId="484" applyNumberFormat="1" applyFont="1" applyBorder="1" applyAlignment="1">
      <alignment horizontal="center"/>
    </xf>
    <xf numFmtId="164" fontId="17" fillId="0" borderId="4" xfId="0" applyNumberFormat="1" applyFont="1" applyBorder="1" applyAlignment="1">
      <alignment horizontal="center"/>
    </xf>
    <xf numFmtId="11" fontId="17" fillId="0" borderId="5" xfId="484" applyNumberFormat="1" applyFont="1" applyBorder="1" applyAlignment="1">
      <alignment horizontal="center"/>
    </xf>
    <xf numFmtId="11" fontId="17" fillId="0" borderId="4" xfId="484" applyNumberFormat="1" applyFont="1" applyBorder="1" applyAlignment="1">
      <alignment horizontal="center"/>
    </xf>
    <xf numFmtId="0" fontId="64" fillId="0" borderId="0" xfId="0" applyFont="1"/>
    <xf numFmtId="11" fontId="64" fillId="0" borderId="0" xfId="0" applyNumberFormat="1" applyFont="1"/>
    <xf numFmtId="0" fontId="10" fillId="0" borderId="0" xfId="2" applyFont="1" applyBorder="1" applyAlignment="1">
      <alignment horizontal="left"/>
    </xf>
    <xf numFmtId="0" fontId="17" fillId="0" borderId="0" xfId="2" applyFont="1" applyBorder="1" applyAlignment="1">
      <alignment horizontal="center"/>
    </xf>
    <xf numFmtId="0" fontId="10" fillId="56" borderId="4" xfId="2" applyFont="1" applyFill="1" applyBorder="1" applyAlignment="1">
      <alignment horizontal="center" vertical="center" wrapText="1"/>
    </xf>
    <xf numFmtId="0" fontId="17" fillId="0" borderId="0" xfId="2" applyFont="1" applyBorder="1" applyAlignment="1">
      <alignment horizontal="center" vertical="center" wrapText="1"/>
    </xf>
    <xf numFmtId="3" fontId="70" fillId="0" borderId="0" xfId="2" applyNumberFormat="1" applyFont="1" applyBorder="1" applyAlignment="1">
      <alignment horizontal="center" vertical="center" wrapText="1"/>
    </xf>
    <xf numFmtId="2" fontId="70" fillId="0" borderId="0" xfId="2" applyNumberFormat="1" applyFont="1" applyBorder="1" applyAlignment="1">
      <alignment horizontal="center" vertical="center" wrapText="1"/>
    </xf>
    <xf numFmtId="0" fontId="70" fillId="56" borderId="0" xfId="2" applyFont="1" applyFill="1" applyBorder="1" applyAlignment="1">
      <alignment horizontal="center" vertical="center" wrapText="1"/>
    </xf>
    <xf numFmtId="3" fontId="17" fillId="0" borderId="0" xfId="6" applyNumberFormat="1" applyFont="1" applyAlignment="1">
      <alignment horizontal="center" vertical="center" wrapText="1"/>
    </xf>
    <xf numFmtId="0" fontId="70" fillId="0" borderId="0" xfId="2" applyFont="1" applyBorder="1" applyAlignment="1">
      <alignment horizontal="center" vertical="center" wrapText="1"/>
    </xf>
    <xf numFmtId="3" fontId="17" fillId="0" borderId="0" xfId="0" applyNumberFormat="1" applyFont="1" applyAlignment="1">
      <alignment horizontal="center" vertical="center"/>
    </xf>
    <xf numFmtId="0" fontId="21" fillId="0" borderId="0" xfId="2" applyFont="1" applyBorder="1" applyAlignment="1">
      <alignment horizontal="center" vertical="center" wrapText="1"/>
    </xf>
    <xf numFmtId="3" fontId="70" fillId="0" borderId="0" xfId="2" applyNumberFormat="1" applyFont="1" applyFill="1" applyBorder="1" applyAlignment="1">
      <alignment horizontal="center" vertical="center" wrapText="1"/>
    </xf>
    <xf numFmtId="2" fontId="70" fillId="0" borderId="0" xfId="2" applyNumberFormat="1" applyFont="1" applyFill="1" applyBorder="1" applyAlignment="1">
      <alignment horizontal="center" vertical="center" wrapText="1"/>
    </xf>
    <xf numFmtId="0" fontId="70" fillId="0" borderId="0" xfId="2" applyFont="1" applyFill="1" applyBorder="1" applyAlignment="1">
      <alignment horizontal="center" vertical="center" wrapText="1"/>
    </xf>
    <xf numFmtId="3" fontId="17" fillId="0" borderId="0" xfId="0" applyNumberFormat="1" applyFont="1" applyAlignment="1">
      <alignment horizontal="center"/>
    </xf>
    <xf numFmtId="0" fontId="21" fillId="0" borderId="4" xfId="2" applyFont="1" applyBorder="1" applyAlignment="1">
      <alignment horizontal="center" vertical="center" wrapText="1"/>
    </xf>
    <xf numFmtId="3" fontId="17" fillId="0" borderId="4" xfId="0" applyNumberFormat="1" applyFont="1" applyBorder="1" applyAlignment="1">
      <alignment horizontal="center"/>
    </xf>
    <xf numFmtId="2" fontId="70" fillId="0" borderId="4" xfId="2" applyNumberFormat="1" applyFont="1" applyFill="1" applyBorder="1" applyAlignment="1">
      <alignment horizontal="center" vertical="center" wrapText="1"/>
    </xf>
    <xf numFmtId="0" fontId="70" fillId="56" borderId="4" xfId="2" applyFont="1" applyFill="1" applyBorder="1" applyAlignment="1">
      <alignment horizontal="center" vertical="center" wrapText="1"/>
    </xf>
    <xf numFmtId="3" fontId="17" fillId="0" borderId="4" xfId="0" applyNumberFormat="1" applyFont="1" applyBorder="1" applyAlignment="1">
      <alignment horizontal="center" vertical="center"/>
    </xf>
    <xf numFmtId="0" fontId="70" fillId="0" borderId="4" xfId="2" applyFont="1" applyFill="1" applyBorder="1" applyAlignment="1">
      <alignment horizontal="center" vertical="center" wrapText="1"/>
    </xf>
    <xf numFmtId="0" fontId="17" fillId="0" borderId="0" xfId="2" applyFont="1" applyFill="1" applyBorder="1" applyAlignment="1">
      <alignment horizontal="left" vertical="center"/>
    </xf>
    <xf numFmtId="0" fontId="15" fillId="0" borderId="0" xfId="2" applyFont="1" applyFill="1" applyBorder="1" applyAlignment="1">
      <alignment horizontal="center" vertical="center" wrapText="1"/>
    </xf>
    <xf numFmtId="0" fontId="17" fillId="0" borderId="0" xfId="2" applyFont="1" applyAlignment="1">
      <alignment horizontal="left"/>
    </xf>
    <xf numFmtId="0" fontId="17" fillId="0" borderId="0" xfId="2" applyFont="1" applyFill="1" applyBorder="1" applyAlignment="1">
      <alignment horizontal="center"/>
    </xf>
    <xf numFmtId="0" fontId="17" fillId="0" borderId="0" xfId="2" applyFont="1" applyFill="1" applyAlignment="1">
      <alignment horizontal="center"/>
    </xf>
    <xf numFmtId="2" fontId="21" fillId="0" borderId="32" xfId="478" quotePrefix="1" applyNumberFormat="1" applyFont="1" applyFill="1" applyBorder="1" applyAlignment="1">
      <alignment horizontal="center"/>
    </xf>
    <xf numFmtId="2" fontId="21" fillId="0" borderId="0" xfId="478" quotePrefix="1" applyNumberFormat="1" applyFont="1" applyFill="1" applyBorder="1" applyAlignment="1">
      <alignment horizontal="center"/>
    </xf>
    <xf numFmtId="2" fontId="21" fillId="0" borderId="2" xfId="478" quotePrefix="1" applyNumberFormat="1" applyFont="1" applyFill="1" applyBorder="1" applyAlignment="1">
      <alignment horizontal="center"/>
    </xf>
    <xf numFmtId="2" fontId="68" fillId="0" borderId="32" xfId="478" quotePrefix="1" applyNumberFormat="1" applyFont="1" applyFill="1" applyBorder="1" applyAlignment="1">
      <alignment horizontal="center"/>
    </xf>
    <xf numFmtId="2" fontId="68" fillId="0" borderId="0" xfId="478" quotePrefix="1" applyNumberFormat="1" applyFont="1" applyFill="1" applyBorder="1" applyAlignment="1">
      <alignment horizontal="center"/>
    </xf>
    <xf numFmtId="2" fontId="68" fillId="0" borderId="2" xfId="478" quotePrefix="1" applyNumberFormat="1" applyFont="1" applyFill="1" applyBorder="1" applyAlignment="1">
      <alignment horizontal="center"/>
    </xf>
    <xf numFmtId="2" fontId="76" fillId="0" borderId="4" xfId="478" quotePrefix="1" applyNumberFormat="1" applyFont="1" applyFill="1" applyBorder="1" applyAlignment="1">
      <alignment horizontal="center" vertical="center"/>
    </xf>
    <xf numFmtId="1" fontId="21" fillId="0" borderId="0" xfId="478" quotePrefix="1" applyNumberFormat="1" applyFont="1" applyFill="1" applyBorder="1" applyAlignment="1">
      <alignment horizontal="center"/>
    </xf>
    <xf numFmtId="1" fontId="21" fillId="0" borderId="4" xfId="478" quotePrefix="1" applyNumberFormat="1" applyFont="1" applyFill="1" applyBorder="1" applyAlignment="1">
      <alignment horizontal="center"/>
    </xf>
    <xf numFmtId="1" fontId="68" fillId="0" borderId="0" xfId="478" quotePrefix="1" applyNumberFormat="1" applyFont="1" applyFill="1" applyBorder="1" applyAlignment="1">
      <alignment horizontal="center"/>
    </xf>
    <xf numFmtId="1" fontId="68" fillId="0" borderId="4" xfId="478" quotePrefix="1" applyNumberFormat="1" applyFont="1" applyFill="1" applyBorder="1" applyAlignment="1">
      <alignment horizontal="center"/>
    </xf>
    <xf numFmtId="0" fontId="39" fillId="0" borderId="0" xfId="0" applyFont="1" applyFill="1" applyAlignment="1">
      <alignment horizontal="left" vertical="center"/>
    </xf>
    <xf numFmtId="0" fontId="39" fillId="0" borderId="0" xfId="0" applyFont="1" applyFill="1" applyAlignment="1">
      <alignment vertical="center"/>
    </xf>
    <xf numFmtId="0" fontId="39" fillId="0" borderId="0" xfId="0" applyFont="1" applyFill="1" applyBorder="1" applyAlignment="1">
      <alignment horizontal="left"/>
    </xf>
    <xf numFmtId="0" fontId="39" fillId="0" borderId="0" xfId="0" applyFont="1" applyFill="1" applyAlignment="1"/>
    <xf numFmtId="0" fontId="106" fillId="0" borderId="0" xfId="0" applyFont="1" applyBorder="1" applyAlignment="1">
      <alignment vertical="center"/>
    </xf>
    <xf numFmtId="0" fontId="107" fillId="0" borderId="0" xfId="0" applyFont="1" applyBorder="1" applyAlignment="1">
      <alignment vertical="center"/>
    </xf>
    <xf numFmtId="0" fontId="104" fillId="0" borderId="0" xfId="0" applyFont="1" applyBorder="1" applyAlignment="1">
      <alignment vertical="center"/>
    </xf>
    <xf numFmtId="0" fontId="108" fillId="0" borderId="0" xfId="0" applyFont="1" applyBorder="1" applyAlignment="1">
      <alignment vertical="center"/>
    </xf>
    <xf numFmtId="0" fontId="107" fillId="0" borderId="0" xfId="0" applyFont="1" applyFill="1" applyBorder="1" applyAlignment="1">
      <alignment vertical="center"/>
    </xf>
    <xf numFmtId="0" fontId="104" fillId="0" borderId="0" xfId="0" applyFont="1" applyFill="1" applyBorder="1" applyAlignment="1">
      <alignment vertical="center"/>
    </xf>
    <xf numFmtId="164" fontId="39" fillId="0" borderId="0" xfId="0" applyNumberFormat="1" applyFont="1" applyFill="1" applyAlignment="1">
      <alignment horizontal="left" vertical="center"/>
    </xf>
    <xf numFmtId="11" fontId="39" fillId="0" borderId="0" xfId="0" applyNumberFormat="1" applyFont="1" applyFill="1" applyAlignment="1">
      <alignment horizontal="left" vertical="center"/>
    </xf>
    <xf numFmtId="0" fontId="39" fillId="0" borderId="0" xfId="0" applyFont="1" applyBorder="1" applyAlignment="1">
      <alignment horizontal="left" vertical="center"/>
    </xf>
    <xf numFmtId="11" fontId="39" fillId="0" borderId="0" xfId="484" applyNumberFormat="1" applyFont="1" applyAlignment="1">
      <alignment horizontal="center"/>
    </xf>
    <xf numFmtId="164" fontId="17" fillId="0" borderId="0" xfId="0" applyNumberFormat="1" applyFont="1" applyFill="1" applyBorder="1" applyAlignment="1">
      <alignment horizontal="center" vertical="center"/>
    </xf>
    <xf numFmtId="164" fontId="17" fillId="0" borderId="4" xfId="0" applyNumberFormat="1" applyFont="1" applyFill="1" applyBorder="1" applyAlignment="1">
      <alignment horizontal="center" vertical="center"/>
    </xf>
    <xf numFmtId="0" fontId="76" fillId="0" borderId="0" xfId="0" applyFont="1" applyAlignment="1">
      <alignment vertical="center"/>
    </xf>
    <xf numFmtId="0" fontId="64" fillId="0" borderId="4" xfId="0" applyFont="1" applyFill="1" applyBorder="1" applyAlignment="1">
      <alignment horizontal="center" vertical="center"/>
    </xf>
    <xf numFmtId="0" fontId="67" fillId="0" borderId="4" xfId="0" applyFont="1" applyFill="1" applyBorder="1" applyAlignment="1">
      <alignment horizontal="center" vertical="center"/>
    </xf>
    <xf numFmtId="169" fontId="64" fillId="0" borderId="0" xfId="0" applyNumberFormat="1" applyFont="1" applyFill="1" applyBorder="1" applyAlignment="1">
      <alignment horizontal="center" vertical="center"/>
    </xf>
    <xf numFmtId="169" fontId="64" fillId="0" borderId="12" xfId="0" applyNumberFormat="1" applyFont="1" applyFill="1" applyBorder="1" applyAlignment="1">
      <alignment horizontal="center" vertical="center"/>
    </xf>
    <xf numFmtId="0" fontId="17" fillId="56" borderId="0" xfId="0" applyFont="1" applyFill="1" applyAlignment="1">
      <alignment horizontal="center" vertical="center"/>
    </xf>
    <xf numFmtId="0" fontId="21" fillId="0" borderId="0" xfId="475" applyFont="1" applyAlignment="1">
      <alignment horizontal="left"/>
    </xf>
    <xf numFmtId="0" fontId="21" fillId="0" borderId="0" xfId="475" applyFont="1"/>
    <xf numFmtId="0" fontId="21" fillId="0" borderId="0" xfId="475" applyFont="1" applyAlignment="1">
      <alignment horizontal="center"/>
    </xf>
    <xf numFmtId="0" fontId="21" fillId="0" borderId="0" xfId="475" applyFont="1" applyAlignment="1">
      <alignment horizontal="left"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164" fontId="21" fillId="0" borderId="0" xfId="0" applyNumberFormat="1" applyFont="1" applyFill="1" applyBorder="1" applyAlignment="1">
      <alignment horizontal="center" vertical="center"/>
    </xf>
    <xf numFmtId="11" fontId="20" fillId="0" borderId="0" xfId="0" applyNumberFormat="1" applyFont="1" applyBorder="1" applyAlignment="1">
      <alignment horizontal="center" vertical="center"/>
    </xf>
    <xf numFmtId="0" fontId="74"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15" fillId="0" borderId="60" xfId="0" applyFont="1" applyBorder="1" applyAlignment="1">
      <alignment vertical="center"/>
    </xf>
    <xf numFmtId="0" fontId="0" fillId="0" borderId="59" xfId="0" applyFont="1" applyBorder="1" applyAlignment="1">
      <alignment horizontal="center"/>
    </xf>
    <xf numFmtId="2" fontId="0" fillId="0" borderId="59" xfId="0" applyNumberFormat="1" applyFont="1" applyBorder="1" applyAlignment="1">
      <alignment horizontal="center"/>
    </xf>
    <xf numFmtId="164" fontId="0" fillId="0" borderId="59" xfId="0" applyNumberFormat="1" applyFont="1" applyBorder="1" applyAlignment="1">
      <alignment horizontal="center"/>
    </xf>
    <xf numFmtId="0" fontId="14" fillId="0" borderId="59" xfId="0" applyFont="1" applyFill="1" applyBorder="1" applyAlignment="1">
      <alignment horizontal="left" vertical="center"/>
    </xf>
    <xf numFmtId="0" fontId="0" fillId="0" borderId="0" xfId="0" applyFill="1" applyAlignment="1">
      <alignment horizontal="center" vertical="center"/>
    </xf>
    <xf numFmtId="165" fontId="0" fillId="0" borderId="1" xfId="0" applyNumberFormat="1" applyFill="1" applyBorder="1" applyAlignment="1">
      <alignment horizontal="center"/>
    </xf>
    <xf numFmtId="165" fontId="0" fillId="0" borderId="0" xfId="0" applyNumberFormat="1" applyFill="1" applyBorder="1" applyAlignment="1">
      <alignment horizontal="center"/>
    </xf>
    <xf numFmtId="11" fontId="0" fillId="0" borderId="2" xfId="0" applyNumberFormat="1" applyFill="1" applyBorder="1" applyAlignment="1">
      <alignment horizontal="center"/>
    </xf>
    <xf numFmtId="165" fontId="0" fillId="0" borderId="3" xfId="0" applyNumberFormat="1" applyFill="1" applyBorder="1" applyAlignment="1">
      <alignment horizontal="center"/>
    </xf>
    <xf numFmtId="165" fontId="0" fillId="0" borderId="4" xfId="0" applyNumberFormat="1" applyFill="1" applyBorder="1" applyAlignment="1">
      <alignment horizontal="center"/>
    </xf>
    <xf numFmtId="11" fontId="0" fillId="0" borderId="5" xfId="0" applyNumberFormat="1" applyFill="1" applyBorder="1" applyAlignment="1">
      <alignment horizontal="center"/>
    </xf>
    <xf numFmtId="0" fontId="17" fillId="0" borderId="1" xfId="0" applyFont="1" applyFill="1" applyBorder="1" applyAlignment="1">
      <alignment horizontal="center" vertical="center"/>
    </xf>
    <xf numFmtId="169" fontId="10" fillId="0" borderId="2" xfId="0" applyNumberFormat="1" applyFont="1" applyFill="1" applyBorder="1" applyAlignment="1">
      <alignment horizontal="center" vertical="center"/>
    </xf>
    <xf numFmtId="0" fontId="17" fillId="0" borderId="3" xfId="0" applyFont="1" applyFill="1" applyBorder="1" applyAlignment="1">
      <alignment horizontal="center" vertical="center"/>
    </xf>
    <xf numFmtId="169" fontId="10" fillId="0" borderId="5" xfId="0" applyNumberFormat="1" applyFont="1" applyFill="1" applyBorder="1" applyAlignment="1">
      <alignment horizontal="center" vertical="center"/>
    </xf>
    <xf numFmtId="0" fontId="10" fillId="56" borderId="60" xfId="0" applyFont="1" applyFill="1" applyBorder="1" applyAlignment="1">
      <alignment horizontal="center"/>
    </xf>
    <xf numFmtId="0" fontId="16" fillId="56" borderId="60" xfId="0" applyFont="1" applyFill="1" applyBorder="1" applyAlignment="1">
      <alignment horizontal="center"/>
    </xf>
    <xf numFmtId="165" fontId="10" fillId="56" borderId="60" xfId="0" applyNumberFormat="1" applyFont="1" applyFill="1" applyBorder="1" applyAlignment="1">
      <alignment horizontal="center"/>
    </xf>
    <xf numFmtId="11" fontId="10" fillId="56" borderId="60" xfId="0" applyNumberFormat="1" applyFont="1" applyFill="1" applyBorder="1" applyAlignment="1">
      <alignment horizontal="center"/>
    </xf>
    <xf numFmtId="11" fontId="10" fillId="0" borderId="2" xfId="0" applyNumberFormat="1" applyFont="1" applyBorder="1" applyAlignment="1">
      <alignment horizontal="center"/>
    </xf>
    <xf numFmtId="11" fontId="10" fillId="0" borderId="5" xfId="0" applyNumberFormat="1" applyFont="1" applyBorder="1" applyAlignment="1">
      <alignment horizontal="center"/>
    </xf>
    <xf numFmtId="0" fontId="65" fillId="56" borderId="60" xfId="0" applyFont="1" applyFill="1" applyBorder="1" applyAlignment="1">
      <alignment horizontal="center" vertical="center"/>
    </xf>
    <xf numFmtId="0" fontId="65" fillId="0" borderId="0" xfId="0" applyFont="1" applyFill="1" applyBorder="1" applyAlignment="1">
      <alignment horizontal="center" vertical="center"/>
    </xf>
    <xf numFmtId="0" fontId="64" fillId="0" borderId="11" xfId="0" applyFont="1" applyFill="1" applyBorder="1" applyAlignment="1">
      <alignment horizontal="center" vertical="center"/>
    </xf>
    <xf numFmtId="165" fontId="0" fillId="0" borderId="60" xfId="0" applyNumberFormat="1" applyBorder="1" applyAlignment="1">
      <alignment horizontal="center"/>
    </xf>
    <xf numFmtId="11" fontId="0" fillId="0" borderId="12" xfId="0" applyNumberFormat="1" applyBorder="1" applyAlignment="1">
      <alignment horizontal="center"/>
    </xf>
    <xf numFmtId="164" fontId="64" fillId="0" borderId="60" xfId="0" applyNumberFormat="1" applyFont="1" applyFill="1" applyBorder="1" applyAlignment="1">
      <alignment horizontal="center" vertical="center"/>
    </xf>
    <xf numFmtId="0" fontId="17" fillId="0" borderId="0" xfId="0" applyFont="1" applyFill="1" applyAlignment="1">
      <alignment horizontal="center" vertical="center"/>
    </xf>
    <xf numFmtId="0" fontId="100" fillId="0" borderId="0" xfId="0" applyFont="1" applyFill="1" applyAlignment="1">
      <alignment horizontal="center" vertical="center"/>
    </xf>
    <xf numFmtId="0" fontId="17" fillId="0" borderId="0" xfId="0" applyFont="1" applyFill="1" applyAlignment="1">
      <alignment horizontal="center" vertical="center"/>
    </xf>
    <xf numFmtId="0" fontId="21" fillId="0" borderId="0" xfId="0" applyFont="1" applyFill="1" applyAlignment="1">
      <alignment horizontal="center" vertical="center"/>
    </xf>
    <xf numFmtId="0" fontId="17" fillId="0" borderId="0" xfId="0" applyFont="1" applyFill="1" applyAlignment="1">
      <alignment horizontal="center" vertical="center" wrapText="1"/>
    </xf>
    <xf numFmtId="0" fontId="15" fillId="0" borderId="4" xfId="0" applyFont="1" applyFill="1" applyBorder="1" applyAlignment="1">
      <alignment horizontal="center" vertical="center" wrapText="1"/>
    </xf>
    <xf numFmtId="0" fontId="110" fillId="0" borderId="0" xfId="0" applyFont="1" applyFill="1" applyBorder="1" applyAlignment="1">
      <alignment vertical="center"/>
    </xf>
    <xf numFmtId="0" fontId="10" fillId="0" borderId="42" xfId="0" applyFont="1" applyFill="1" applyBorder="1" applyAlignment="1">
      <alignment horizontal="center" vertical="center" wrapText="1"/>
    </xf>
    <xf numFmtId="11" fontId="10" fillId="0" borderId="42" xfId="0" applyNumberFormat="1" applyFont="1" applyFill="1" applyBorder="1" applyAlignment="1">
      <alignment horizontal="center" vertical="center"/>
    </xf>
    <xf numFmtId="11" fontId="10" fillId="0" borderId="42" xfId="0" applyNumberFormat="1" applyFont="1" applyFill="1" applyBorder="1" applyAlignment="1">
      <alignment horizontal="center" vertical="center" wrapText="1"/>
    </xf>
    <xf numFmtId="0" fontId="20" fillId="0" borderId="0" xfId="2" applyFont="1" applyFill="1" applyAlignment="1">
      <alignment horizontal="left" vertical="center"/>
    </xf>
    <xf numFmtId="0" fontId="22" fillId="0" borderId="0" xfId="0" applyFont="1" applyFill="1" applyAlignment="1">
      <alignment horizontal="center" vertical="center"/>
    </xf>
    <xf numFmtId="0" fontId="21" fillId="0" borderId="0" xfId="0" applyFont="1" applyFill="1" applyAlignment="1">
      <alignment horizontal="center" vertical="center" wrapText="1"/>
    </xf>
    <xf numFmtId="0" fontId="39" fillId="0" borderId="0" xfId="0" applyFont="1" applyFill="1" applyAlignment="1">
      <alignment horizontal="center" vertical="center" wrapText="1"/>
    </xf>
    <xf numFmtId="0" fontId="10" fillId="0" borderId="39" xfId="0" applyFont="1" applyFill="1" applyBorder="1" applyAlignment="1">
      <alignment horizontal="center" vertical="center"/>
    </xf>
    <xf numFmtId="164" fontId="10" fillId="0" borderId="40" xfId="0" applyNumberFormat="1" applyFont="1" applyFill="1" applyBorder="1" applyAlignment="1">
      <alignment horizontal="center" vertical="center" wrapText="1"/>
    </xf>
    <xf numFmtId="164" fontId="10" fillId="0" borderId="40" xfId="0" applyNumberFormat="1" applyFont="1" applyFill="1" applyBorder="1" applyAlignment="1">
      <alignment horizontal="center" vertical="center"/>
    </xf>
    <xf numFmtId="11" fontId="10" fillId="0" borderId="40" xfId="0" applyNumberFormat="1" applyFont="1" applyFill="1" applyBorder="1" applyAlignment="1">
      <alignment horizontal="center" vertical="center"/>
    </xf>
    <xf numFmtId="169" fontId="17" fillId="0" borderId="2" xfId="0" applyNumberFormat="1" applyFont="1" applyFill="1" applyBorder="1" applyAlignment="1">
      <alignment horizontal="center" vertical="center"/>
    </xf>
    <xf numFmtId="0" fontId="39" fillId="0" borderId="4"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0" fontId="21" fillId="0" borderId="0" xfId="0" applyFont="1" applyAlignment="1">
      <alignment horizontal="left" vertical="center"/>
    </xf>
    <xf numFmtId="0" fontId="17" fillId="0" borderId="0" xfId="0" applyFont="1" applyFill="1" applyBorder="1" applyAlignment="1">
      <alignment horizontal="center" vertical="center" wrapText="1"/>
    </xf>
    <xf numFmtId="0" fontId="21"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7" fillId="0" borderId="0" xfId="0" applyFont="1" applyFill="1" applyBorder="1" applyAlignment="1">
      <alignment horizontal="center" vertic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1" xfId="0" applyFont="1" applyFill="1" applyBorder="1" applyAlignment="1">
      <alignment horizontal="center"/>
    </xf>
    <xf numFmtId="0" fontId="10" fillId="0" borderId="0" xfId="0" applyFont="1" applyFill="1" applyBorder="1" applyAlignment="1">
      <alignment horizontal="center"/>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3" fillId="0" borderId="0" xfId="0" applyFont="1" applyFill="1" applyBorder="1" applyAlignment="1">
      <alignment horizontal="center" vertical="center"/>
    </xf>
    <xf numFmtId="164" fontId="20" fillId="0" borderId="2" xfId="0" applyNumberFormat="1" applyFont="1" applyFill="1" applyBorder="1" applyAlignment="1">
      <alignment horizontal="left" vertical="center" wrapText="1"/>
    </xf>
    <xf numFmtId="164" fontId="20" fillId="0" borderId="0" xfId="0" applyNumberFormat="1" applyFont="1" applyFill="1" applyBorder="1" applyAlignment="1">
      <alignment horizontal="left" vertical="center" wrapText="1"/>
    </xf>
    <xf numFmtId="164" fontId="21" fillId="0" borderId="0" xfId="0" applyNumberFormat="1" applyFont="1" applyFill="1" applyBorder="1" applyAlignment="1">
      <alignment horizontal="center" vertical="center"/>
    </xf>
    <xf numFmtId="11" fontId="21"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15" fillId="0" borderId="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Alignment="1">
      <alignment horizontal="center"/>
    </xf>
    <xf numFmtId="0" fontId="10" fillId="0" borderId="40" xfId="0" applyFont="1" applyBorder="1" applyAlignment="1">
      <alignment horizontal="center" vertical="center" wrapText="1"/>
    </xf>
    <xf numFmtId="164" fontId="0" fillId="0" borderId="0" xfId="0" applyNumberFormat="1" applyFont="1" applyBorder="1" applyAlignment="1">
      <alignment horizontal="center"/>
    </xf>
    <xf numFmtId="164" fontId="0" fillId="0" borderId="4" xfId="0" applyNumberFormat="1" applyFont="1" applyBorder="1" applyAlignment="1">
      <alignment horizont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10" fillId="0" borderId="3" xfId="486" applyFont="1" applyBorder="1" applyAlignment="1">
      <alignment horizontal="center"/>
    </xf>
    <xf numFmtId="0" fontId="20" fillId="0" borderId="4" xfId="0" applyFont="1" applyFill="1" applyBorder="1" applyAlignment="1">
      <alignment horizontal="left" vertical="center" wrapText="1"/>
    </xf>
    <xf numFmtId="0" fontId="20" fillId="0" borderId="4" xfId="0" applyFont="1" applyFill="1" applyBorder="1" applyAlignment="1">
      <alignment horizontal="left" vertical="center"/>
    </xf>
    <xf numFmtId="0" fontId="10" fillId="0" borderId="4" xfId="2" applyFont="1" applyBorder="1" applyAlignment="1">
      <alignment horizontal="center" vertical="center" wrapText="1"/>
    </xf>
    <xf numFmtId="0" fontId="0" fillId="0" borderId="0" xfId="0" applyFont="1" applyFill="1" applyAlignment="1">
      <alignment horizontal="center" vertical="center"/>
    </xf>
    <xf numFmtId="169" fontId="10" fillId="0" borderId="0" xfId="0" applyNumberFormat="1" applyFont="1" applyFill="1" applyAlignment="1">
      <alignment horizontal="center" vertical="center"/>
    </xf>
    <xf numFmtId="0" fontId="20" fillId="0" borderId="40" xfId="476" applyFont="1" applyFill="1" applyBorder="1" applyAlignment="1">
      <alignment horizontal="left" vertical="center" wrapText="1"/>
    </xf>
    <xf numFmtId="0" fontId="20" fillId="0" borderId="40" xfId="476" applyFont="1" applyFill="1" applyBorder="1" applyAlignment="1">
      <alignment horizontal="center" wrapText="1"/>
    </xf>
    <xf numFmtId="0" fontId="59" fillId="0" borderId="0" xfId="476" applyFont="1" applyFill="1" applyBorder="1" applyAlignment="1">
      <alignment horizontal="center" vertical="center" wrapText="1"/>
    </xf>
    <xf numFmtId="0" fontId="45" fillId="0" borderId="0" xfId="476" applyFont="1" applyFill="1" applyBorder="1" applyAlignment="1">
      <alignment horizontal="center" vertical="center" wrapText="1"/>
    </xf>
    <xf numFmtId="0" fontId="45" fillId="0" borderId="0" xfId="420" applyFont="1" applyFill="1" applyBorder="1" applyAlignment="1">
      <alignment horizontal="center" vertical="center" wrapText="1"/>
    </xf>
    <xf numFmtId="9" fontId="45" fillId="0" borderId="0" xfId="476" applyNumberFormat="1" applyFont="1" applyFill="1" applyBorder="1" applyAlignment="1">
      <alignment horizontal="center" vertical="center" wrapText="1"/>
    </xf>
    <xf numFmtId="3" fontId="45" fillId="0" borderId="0" xfId="421" applyNumberFormat="1" applyFont="1" applyFill="1" applyBorder="1" applyAlignment="1">
      <alignment horizontal="center" vertical="center" wrapText="1"/>
    </xf>
    <xf numFmtId="3" fontId="45" fillId="0" borderId="0" xfId="476" applyNumberFormat="1" applyFont="1" applyFill="1" applyBorder="1" applyAlignment="1">
      <alignment horizontal="center" vertical="center" wrapText="1"/>
    </xf>
    <xf numFmtId="0" fontId="68" fillId="0" borderId="59" xfId="478" applyFont="1" applyFill="1" applyBorder="1" applyAlignment="1">
      <alignment horizontal="center" vertical="center"/>
    </xf>
    <xf numFmtId="0" fontId="21" fillId="0" borderId="59" xfId="479" applyFont="1" applyFill="1" applyBorder="1" applyAlignment="1">
      <alignment horizontal="center" vertical="center" wrapText="1"/>
    </xf>
    <xf numFmtId="0" fontId="20" fillId="0" borderId="40" xfId="478" applyNumberFormat="1" applyFont="1" applyFill="1" applyBorder="1" applyAlignment="1">
      <alignment horizontal="center" vertical="center" wrapText="1"/>
    </xf>
    <xf numFmtId="0" fontId="20" fillId="0" borderId="40" xfId="479" applyNumberFormat="1" applyFont="1" applyFill="1" applyBorder="1" applyAlignment="1">
      <alignment horizontal="center" vertical="center" wrapText="1"/>
    </xf>
    <xf numFmtId="0" fontId="21" fillId="0" borderId="59" xfId="478" quotePrefix="1" applyNumberFormat="1" applyFont="1" applyFill="1" applyBorder="1"/>
    <xf numFmtId="0" fontId="21" fillId="0" borderId="59" xfId="478" quotePrefix="1" applyNumberFormat="1" applyFont="1" applyFill="1" applyBorder="1" applyAlignment="1">
      <alignment horizontal="center"/>
    </xf>
    <xf numFmtId="2" fontId="21" fillId="0" borderId="59" xfId="478" quotePrefix="1" applyNumberFormat="1" applyFont="1" applyFill="1" applyBorder="1" applyAlignment="1">
      <alignment horizontal="center"/>
    </xf>
    <xf numFmtId="1" fontId="21" fillId="0" borderId="59" xfId="478" quotePrefix="1" applyNumberFormat="1" applyFont="1" applyFill="1" applyBorder="1" applyAlignment="1">
      <alignment horizontal="center"/>
    </xf>
    <xf numFmtId="0" fontId="68" fillId="0" borderId="59" xfId="478" quotePrefix="1" applyNumberFormat="1" applyFont="1" applyFill="1" applyBorder="1" applyAlignment="1">
      <alignment horizontal="center"/>
    </xf>
    <xf numFmtId="2" fontId="68" fillId="0" borderId="59" xfId="478" quotePrefix="1" applyNumberFormat="1" applyFont="1" applyFill="1" applyBorder="1" applyAlignment="1">
      <alignment horizontal="center"/>
    </xf>
    <xf numFmtId="1" fontId="68" fillId="0" borderId="59" xfId="478" quotePrefix="1" applyNumberFormat="1" applyFont="1" applyFill="1" applyBorder="1" applyAlignment="1">
      <alignment horizontal="center"/>
    </xf>
    <xf numFmtId="0" fontId="68" fillId="0" borderId="59" xfId="478" quotePrefix="1" applyNumberFormat="1" applyFont="1" applyFill="1" applyBorder="1"/>
    <xf numFmtId="0" fontId="21" fillId="0" borderId="59" xfId="478" quotePrefix="1" applyFont="1" applyFill="1" applyBorder="1"/>
    <xf numFmtId="0" fontId="21" fillId="0" borderId="59" xfId="478" applyFont="1" applyFill="1" applyBorder="1" applyAlignment="1">
      <alignment horizontal="center"/>
    </xf>
    <xf numFmtId="0" fontId="76" fillId="0" borderId="59" xfId="478" quotePrefix="1" applyNumberFormat="1" applyFont="1" applyFill="1" applyBorder="1"/>
    <xf numFmtId="0" fontId="10" fillId="0" borderId="41" xfId="0" applyFont="1" applyBorder="1" applyAlignment="1">
      <alignment horizontal="center"/>
    </xf>
    <xf numFmtId="0" fontId="0" fillId="0" borderId="59" xfId="0" applyFont="1" applyBorder="1" applyAlignment="1">
      <alignment horizontal="center" wrapText="1"/>
    </xf>
    <xf numFmtId="1" fontId="0" fillId="0" borderId="59" xfId="0" applyNumberFormat="1" applyFont="1" applyBorder="1" applyAlignment="1">
      <alignment horizontal="center"/>
    </xf>
    <xf numFmtId="0" fontId="20" fillId="0" borderId="60" xfId="0" applyFont="1" applyFill="1" applyBorder="1" applyAlignment="1">
      <alignment horizontal="left"/>
    </xf>
    <xf numFmtId="0" fontId="10" fillId="56" borderId="60" xfId="2"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0" xfId="0" applyFont="1" applyFill="1" applyBorder="1" applyAlignment="1">
      <alignment horizontal="center" vertical="center"/>
    </xf>
    <xf numFmtId="0" fontId="17" fillId="0" borderId="0" xfId="0" applyFont="1" applyFill="1" applyAlignment="1">
      <alignment horizontal="left" vertical="center" wrapText="1"/>
    </xf>
    <xf numFmtId="0" fontId="21" fillId="0" borderId="0" xfId="0" applyFont="1" applyFill="1" applyAlignment="1">
      <alignment horizontal="center" vertical="center"/>
    </xf>
    <xf numFmtId="0" fontId="1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horizontal="center" vertical="center" wrapText="1"/>
    </xf>
    <xf numFmtId="0" fontId="10" fillId="0" borderId="40" xfId="0" applyFont="1" applyBorder="1" applyAlignment="1">
      <alignment horizontal="center" vertical="center"/>
    </xf>
    <xf numFmtId="0" fontId="111" fillId="0" borderId="0" xfId="478" applyFont="1" applyFill="1"/>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0" fontId="0" fillId="0" borderId="0" xfId="0" applyFont="1" applyFill="1" applyAlignment="1">
      <alignment horizontal="center" vertical="center" wrapText="1"/>
    </xf>
    <xf numFmtId="0" fontId="10" fillId="0" borderId="0" xfId="0" applyFont="1" applyFill="1" applyBorder="1" applyAlignment="1">
      <alignment horizontal="center"/>
    </xf>
    <xf numFmtId="0" fontId="10" fillId="0" borderId="40" xfId="0" applyFont="1" applyBorder="1" applyAlignment="1">
      <alignment horizontal="center" vertical="center"/>
    </xf>
    <xf numFmtId="169"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0" fontId="22" fillId="0" borderId="0" xfId="0" applyFont="1" applyFill="1" applyAlignment="1">
      <alignment horizontal="center" vertical="center" wrapText="1"/>
    </xf>
    <xf numFmtId="0" fontId="21" fillId="0" borderId="0" xfId="0" applyFont="1" applyAlignment="1">
      <alignment horizontal="center" vertical="center"/>
    </xf>
    <xf numFmtId="0" fontId="22" fillId="0" borderId="0"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39" fillId="0" borderId="0" xfId="0" applyFont="1" applyFill="1" applyBorder="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5" fillId="0" borderId="0" xfId="0" applyFont="1" applyAlignment="1">
      <alignment horizontal="center" vertical="center"/>
    </xf>
    <xf numFmtId="0" fontId="105"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0" fillId="0" borderId="40" xfId="0" applyFont="1" applyFill="1" applyBorder="1" applyAlignment="1">
      <alignment vertical="center" wrapText="1"/>
    </xf>
    <xf numFmtId="11" fontId="10" fillId="2" borderId="40" xfId="0" applyNumberFormat="1" applyFont="1" applyFill="1" applyBorder="1" applyAlignment="1">
      <alignment horizontal="center" vertical="center"/>
    </xf>
    <xf numFmtId="0" fontId="10" fillId="0" borderId="39" xfId="0" applyFont="1" applyBorder="1" applyAlignment="1">
      <alignment horizontal="center" vertical="center"/>
    </xf>
    <xf numFmtId="164" fontId="10" fillId="0" borderId="40" xfId="0" applyNumberFormat="1" applyFont="1" applyBorder="1" applyAlignment="1">
      <alignment horizontal="center" vertical="center"/>
    </xf>
    <xf numFmtId="0" fontId="10" fillId="0" borderId="41" xfId="0" applyFont="1" applyFill="1" applyBorder="1" applyAlignment="1">
      <alignment horizontal="center" vertical="center" wrapText="1"/>
    </xf>
    <xf numFmtId="11" fontId="10" fillId="0" borderId="41" xfId="0" applyNumberFormat="1" applyFont="1" applyFill="1" applyBorder="1" applyAlignment="1">
      <alignment horizontal="center" vertical="center" wrapText="1"/>
    </xf>
    <xf numFmtId="0" fontId="20" fillId="0" borderId="0" xfId="0" applyFont="1" applyAlignment="1">
      <alignment horizontal="left"/>
    </xf>
    <xf numFmtId="164" fontId="10" fillId="0" borderId="40" xfId="0" applyNumberFormat="1" applyFont="1" applyFill="1" applyBorder="1" applyAlignment="1">
      <alignment horizontal="center" vertical="center" wrapText="1"/>
    </xf>
    <xf numFmtId="0" fontId="21" fillId="0" borderId="0" xfId="16" applyFont="1" applyBorder="1" applyAlignment="1">
      <alignment horizontal="center" wrapText="1"/>
    </xf>
    <xf numFmtId="0" fontId="21" fillId="57" borderId="52" xfId="0" applyFont="1" applyFill="1" applyBorder="1" applyAlignment="1">
      <alignment horizontal="center" vertical="center"/>
    </xf>
    <xf numFmtId="0" fontId="13" fillId="0" borderId="0" xfId="0" applyFont="1" applyAlignment="1">
      <alignment horizontal="center" vertical="center"/>
    </xf>
    <xf numFmtId="11" fontId="0" fillId="0" borderId="0" xfId="475" applyNumberFormat="1" applyFont="1" applyAlignment="1">
      <alignment horizontal="center"/>
    </xf>
    <xf numFmtId="11" fontId="0" fillId="0" borderId="4" xfId="475" applyNumberFormat="1" applyFont="1" applyBorder="1" applyAlignment="1">
      <alignment horizontal="center"/>
    </xf>
    <xf numFmtId="0" fontId="0" fillId="0" borderId="0" xfId="485" applyFont="1" applyAlignment="1">
      <alignment vertical="center"/>
    </xf>
    <xf numFmtId="0" fontId="0" fillId="0" borderId="0" xfId="485" applyFont="1" applyFill="1" applyAlignment="1">
      <alignment horizontal="left"/>
    </xf>
    <xf numFmtId="170" fontId="17" fillId="0" borderId="0" xfId="0" applyNumberFormat="1" applyFont="1" applyAlignment="1">
      <alignment horizontal="center" vertical="center"/>
    </xf>
    <xf numFmtId="0" fontId="17" fillId="0" borderId="0" xfId="0" applyFont="1" applyBorder="1" applyAlignment="1">
      <alignment vertical="center"/>
    </xf>
    <xf numFmtId="169" fontId="17" fillId="0" borderId="0" xfId="0" applyNumberFormat="1" applyFont="1" applyAlignment="1">
      <alignment vertical="center"/>
    </xf>
    <xf numFmtId="2" fontId="17" fillId="0" borderId="0" xfId="0" applyNumberFormat="1" applyFont="1" applyAlignment="1">
      <alignment vertical="center"/>
    </xf>
    <xf numFmtId="0" fontId="10" fillId="0" borderId="41" xfId="0" applyFont="1" applyBorder="1" applyAlignment="1">
      <alignment horizontal="center" vertical="center"/>
    </xf>
    <xf numFmtId="0" fontId="10" fillId="0" borderId="0" xfId="0" applyFont="1" applyAlignment="1">
      <alignment horizontal="center" vertical="center"/>
    </xf>
    <xf numFmtId="0" fontId="10" fillId="0" borderId="64" xfId="0" applyFont="1" applyFill="1" applyBorder="1" applyAlignment="1">
      <alignment horizontal="center" vertical="center" wrapText="1"/>
    </xf>
    <xf numFmtId="169" fontId="16" fillId="0" borderId="0" xfId="0" applyNumberFormat="1" applyFont="1" applyFill="1" applyAlignment="1">
      <alignment horizontal="center" vertical="center"/>
    </xf>
    <xf numFmtId="169" fontId="10" fillId="0" borderId="0" xfId="0" applyNumberFormat="1" applyFont="1" applyFill="1" applyBorder="1" applyAlignment="1">
      <alignment horizontal="center" vertical="center"/>
    </xf>
    <xf numFmtId="169" fontId="10" fillId="0" borderId="4" xfId="0" applyNumberFormat="1" applyFont="1" applyFill="1" applyBorder="1" applyAlignment="1">
      <alignment horizontal="center" vertical="center"/>
    </xf>
    <xf numFmtId="169" fontId="16" fillId="0" borderId="0" xfId="0" applyNumberFormat="1" applyFont="1" applyFill="1" applyBorder="1" applyAlignment="1">
      <alignment horizontal="center" vertical="center"/>
    </xf>
    <xf numFmtId="169" fontId="16" fillId="0" borderId="4" xfId="0" applyNumberFormat="1" applyFont="1" applyFill="1" applyBorder="1" applyAlignment="1">
      <alignment horizontal="center" vertical="center"/>
    </xf>
    <xf numFmtId="169" fontId="16" fillId="0" borderId="2" xfId="0" applyNumberFormat="1" applyFont="1" applyFill="1" applyBorder="1" applyAlignment="1">
      <alignment horizontal="center" vertical="center"/>
    </xf>
    <xf numFmtId="169" fontId="16" fillId="0" borderId="5" xfId="0" applyNumberFormat="1" applyFont="1" applyFill="1" applyBorder="1" applyAlignment="1">
      <alignment horizontal="center" vertical="center"/>
    </xf>
    <xf numFmtId="0" fontId="10" fillId="0" borderId="64" xfId="474" applyFont="1" applyBorder="1" applyAlignment="1">
      <alignment horizontal="center" vertical="center" wrapText="1"/>
    </xf>
    <xf numFmtId="0" fontId="14" fillId="0" borderId="0" xfId="0" applyFont="1" applyFill="1" applyBorder="1" applyAlignment="1">
      <alignment horizontal="left"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0" xfId="0" applyFont="1" applyFill="1" applyBorder="1" applyAlignment="1">
      <alignment horizontal="center" vertical="center"/>
    </xf>
    <xf numFmtId="0" fontId="17" fillId="0" borderId="0" xfId="0" applyFont="1" applyFill="1" applyAlignment="1">
      <alignment horizontal="left" vertical="center" wrapText="1"/>
    </xf>
    <xf numFmtId="0" fontId="20" fillId="0" borderId="59" xfId="476" applyFont="1" applyFill="1" applyBorder="1" applyAlignment="1">
      <alignment horizontal="center" vertical="center" wrapText="1"/>
    </xf>
    <xf numFmtId="0" fontId="20" fillId="0" borderId="40" xfId="476" applyFont="1" applyFill="1" applyBorder="1" applyAlignment="1">
      <alignment horizontal="center" vertical="center" wrapText="1"/>
    </xf>
    <xf numFmtId="0" fontId="20" fillId="0" borderId="0" xfId="476" applyFont="1" applyFill="1" applyBorder="1" applyAlignment="1">
      <alignment horizontal="center" vertical="center" wrapText="1"/>
    </xf>
    <xf numFmtId="0" fontId="0" fillId="0" borderId="0" xfId="0" applyFill="1" applyBorder="1" applyAlignment="1">
      <alignment horizontal="center" vertical="center"/>
    </xf>
    <xf numFmtId="0" fontId="15" fillId="0" borderId="0" xfId="0" applyFont="1" applyFill="1" applyAlignment="1">
      <alignment horizontal="center" vertical="center"/>
    </xf>
    <xf numFmtId="0" fontId="2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20" fillId="0" borderId="0" xfId="0" applyNumberFormat="1" applyFont="1" applyFill="1" applyBorder="1" applyAlignment="1">
      <alignment horizontal="center" vertical="center" wrapText="1"/>
    </xf>
    <xf numFmtId="164" fontId="10" fillId="0" borderId="40" xfId="0" applyNumberFormat="1" applyFont="1" applyFill="1" applyBorder="1" applyAlignment="1">
      <alignment horizontal="center" vertical="center" wrapText="1"/>
    </xf>
    <xf numFmtId="164" fontId="10" fillId="0" borderId="40" xfId="0" applyNumberFormat="1" applyFont="1" applyFill="1" applyBorder="1" applyAlignment="1">
      <alignment horizontal="center" vertical="center"/>
    </xf>
    <xf numFmtId="11" fontId="10" fillId="0" borderId="40" xfId="0" applyNumberFormat="1" applyFont="1" applyFill="1" applyBorder="1" applyAlignment="1">
      <alignment horizontal="center" vertical="center"/>
    </xf>
    <xf numFmtId="164" fontId="20" fillId="0" borderId="2"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0" xfId="0" applyFont="1" applyBorder="1" applyAlignment="1">
      <alignment horizontal="center" vertical="center"/>
    </xf>
    <xf numFmtId="0" fontId="21" fillId="0" borderId="0" xfId="331" applyFont="1" applyAlignment="1">
      <alignment wrapText="1"/>
    </xf>
    <xf numFmtId="3" fontId="21" fillId="0" borderId="0" xfId="476" applyNumberFormat="1" applyFont="1" applyFill="1" applyBorder="1" applyAlignment="1">
      <alignment horizontal="center" vertical="center" wrapText="1"/>
    </xf>
    <xf numFmtId="0" fontId="74" fillId="0" borderId="0" xfId="476" applyFont="1" applyFill="1" applyAlignment="1">
      <alignment horizontal="center" vertical="center" wrapText="1"/>
    </xf>
    <xf numFmtId="0" fontId="17" fillId="0" borderId="0" xfId="331" applyFont="1" applyFill="1" applyAlignment="1">
      <alignment horizontal="justify" vertical="center" wrapText="1"/>
    </xf>
    <xf numFmtId="0" fontId="20" fillId="0" borderId="4" xfId="476" applyFont="1" applyFill="1" applyBorder="1" applyAlignment="1">
      <alignment horizontal="center" vertical="center" wrapText="1"/>
    </xf>
    <xf numFmtId="0" fontId="88" fillId="0" borderId="0" xfId="331" applyFont="1" applyAlignment="1">
      <alignment wrapText="1"/>
    </xf>
    <xf numFmtId="0" fontId="76" fillId="0" borderId="0" xfId="477" applyFont="1" applyAlignment="1">
      <alignment horizontal="center" vertical="center" wrapText="1"/>
    </xf>
    <xf numFmtId="0" fontId="21" fillId="0" borderId="0" xfId="477" applyFont="1" applyFill="1" applyBorder="1" applyAlignment="1">
      <alignment horizontal="center" wrapText="1"/>
    </xf>
    <xf numFmtId="0" fontId="10" fillId="0" borderId="0" xfId="476" applyFont="1" applyFill="1" applyBorder="1" applyAlignment="1">
      <alignment horizontal="center" vertical="center" wrapText="1"/>
    </xf>
    <xf numFmtId="0" fontId="45" fillId="0" borderId="0" xfId="477" applyFont="1" applyAlignment="1">
      <alignment horizontal="center" vertical="center" wrapText="1"/>
    </xf>
    <xf numFmtId="0" fontId="76" fillId="0" borderId="0" xfId="477" applyFont="1" applyAlignment="1">
      <alignment horizontal="center" wrapText="1"/>
    </xf>
    <xf numFmtId="0" fontId="79" fillId="0" borderId="0" xfId="476" applyFont="1" applyFill="1" applyAlignment="1">
      <alignment horizontal="center" vertical="center" wrapText="1"/>
    </xf>
    <xf numFmtId="0" fontId="21" fillId="0" borderId="4" xfId="477" applyFont="1" applyBorder="1" applyAlignment="1">
      <alignment horizontal="center" wrapText="1"/>
    </xf>
    <xf numFmtId="0" fontId="17" fillId="0" borderId="0" xfId="375" applyFont="1" applyFill="1"/>
    <xf numFmtId="2" fontId="20" fillId="0" borderId="40" xfId="479" applyNumberFormat="1" applyFont="1" applyFill="1" applyBorder="1" applyAlignment="1">
      <alignment horizontal="center" vertical="center" wrapText="1"/>
    </xf>
    <xf numFmtId="0" fontId="20" fillId="0" borderId="40" xfId="479" quotePrefix="1" applyNumberFormat="1" applyFont="1" applyFill="1" applyBorder="1" applyAlignment="1">
      <alignment horizontal="center" vertical="center" wrapText="1"/>
    </xf>
    <xf numFmtId="0" fontId="76" fillId="0" borderId="59" xfId="10" applyNumberFormat="1" applyFont="1" applyFill="1" applyBorder="1" applyAlignment="1">
      <alignment horizontal="center" vertical="center"/>
    </xf>
    <xf numFmtId="2" fontId="76" fillId="0" borderId="59" xfId="10" applyNumberFormat="1" applyFont="1" applyFill="1" applyBorder="1" applyAlignment="1">
      <alignment horizontal="center" vertical="center"/>
    </xf>
    <xf numFmtId="2" fontId="76" fillId="0" borderId="59" xfId="478" applyNumberFormat="1" applyFont="1" applyFill="1" applyBorder="1" applyAlignment="1">
      <alignment horizontal="center" vertical="center"/>
    </xf>
    <xf numFmtId="1" fontId="76" fillId="0" borderId="59" xfId="10" applyNumberFormat="1" applyFont="1" applyFill="1" applyBorder="1" applyAlignment="1">
      <alignment horizontal="center" vertical="center"/>
    </xf>
    <xf numFmtId="2" fontId="76" fillId="0" borderId="32" xfId="10" applyNumberFormat="1" applyFont="1" applyFill="1" applyBorder="1" applyAlignment="1">
      <alignment horizontal="center" vertical="center"/>
    </xf>
    <xf numFmtId="0" fontId="76" fillId="0" borderId="0" xfId="10" applyNumberFormat="1" applyFont="1" applyFill="1" applyBorder="1" applyAlignment="1">
      <alignment horizontal="center" vertical="center"/>
    </xf>
    <xf numFmtId="2" fontId="76" fillId="0" borderId="0" xfId="10" applyNumberFormat="1" applyFont="1" applyFill="1" applyBorder="1" applyAlignment="1">
      <alignment horizontal="center" vertical="center"/>
    </xf>
    <xf numFmtId="2" fontId="76" fillId="0" borderId="0" xfId="478" applyNumberFormat="1" applyFont="1" applyFill="1" applyBorder="1" applyAlignment="1">
      <alignment horizontal="center" vertical="center"/>
    </xf>
    <xf numFmtId="1" fontId="76" fillId="0" borderId="0" xfId="10" applyNumberFormat="1" applyFont="1" applyFill="1" applyBorder="1" applyAlignment="1">
      <alignment horizontal="center" vertical="center"/>
    </xf>
    <xf numFmtId="2" fontId="76" fillId="0" borderId="2" xfId="10" applyNumberFormat="1" applyFont="1" applyFill="1" applyBorder="1" applyAlignment="1">
      <alignment horizontal="center" vertical="center"/>
    </xf>
    <xf numFmtId="2" fontId="45" fillId="0" borderId="0" xfId="424" applyNumberFormat="1" applyFont="1" applyFill="1" applyBorder="1" applyAlignment="1">
      <alignment horizontal="center" vertical="center"/>
    </xf>
    <xf numFmtId="2" fontId="45" fillId="0" borderId="2" xfId="424" applyNumberFormat="1" applyFont="1" applyFill="1" applyBorder="1" applyAlignment="1">
      <alignment horizontal="center" vertical="center"/>
    </xf>
    <xf numFmtId="0" fontId="45" fillId="0" borderId="4" xfId="424" applyNumberFormat="1" applyFont="1" applyFill="1" applyBorder="1" applyAlignment="1">
      <alignment horizontal="center" vertical="center"/>
    </xf>
    <xf numFmtId="2" fontId="45" fillId="0" borderId="4" xfId="424" applyNumberFormat="1" applyFont="1" applyFill="1" applyBorder="1" applyAlignment="1">
      <alignment horizontal="center" vertical="center"/>
    </xf>
    <xf numFmtId="2" fontId="76" fillId="0" borderId="4" xfId="10" applyNumberFormat="1" applyFont="1" applyFill="1" applyBorder="1" applyAlignment="1">
      <alignment horizontal="center" vertical="center"/>
    </xf>
    <xf numFmtId="1" fontId="45" fillId="0" borderId="4" xfId="424" applyNumberFormat="1" applyFont="1" applyFill="1" applyBorder="1" applyAlignment="1">
      <alignment horizontal="center" vertical="center"/>
    </xf>
    <xf numFmtId="2" fontId="45" fillId="0" borderId="5" xfId="424" applyNumberFormat="1" applyFont="1" applyFill="1" applyBorder="1" applyAlignment="1">
      <alignment horizontal="center" vertical="center"/>
    </xf>
    <xf numFmtId="11" fontId="0" fillId="0" borderId="0" xfId="0" applyNumberFormat="1" applyFill="1" applyAlignment="1">
      <alignment horizontal="center" vertical="center"/>
    </xf>
    <xf numFmtId="11" fontId="0" fillId="0" borderId="0" xfId="0" applyNumberFormat="1" applyFill="1" applyBorder="1" applyAlignment="1">
      <alignment horizontal="center" vertical="center"/>
    </xf>
    <xf numFmtId="11" fontId="0" fillId="0" borderId="0" xfId="0" applyNumberFormat="1" applyAlignment="1">
      <alignment horizontal="center" vertical="center"/>
    </xf>
    <xf numFmtId="0" fontId="0" fillId="0" borderId="0" xfId="0" applyBorder="1" applyAlignment="1">
      <alignment horizontal="center" vertical="center"/>
    </xf>
    <xf numFmtId="164" fontId="0" fillId="0" borderId="2" xfId="0" applyNumberFormat="1" applyBorder="1" applyAlignment="1">
      <alignment horizontal="center" vertical="center"/>
    </xf>
    <xf numFmtId="0" fontId="10" fillId="2" borderId="0" xfId="0" applyFont="1" applyFill="1" applyBorder="1" applyAlignment="1">
      <alignment horizontal="center" vertical="center"/>
    </xf>
    <xf numFmtId="11" fontId="0" fillId="2" borderId="0" xfId="0" applyNumberFormat="1" applyFill="1" applyBorder="1" applyAlignment="1">
      <alignment horizontal="center" vertical="center"/>
    </xf>
    <xf numFmtId="164" fontId="0" fillId="0" borderId="0" xfId="0" applyNumberFormat="1" applyBorder="1" applyAlignment="1">
      <alignment horizontal="center" vertical="center"/>
    </xf>
    <xf numFmtId="11" fontId="0" fillId="0" borderId="0" xfId="0" applyNumberFormat="1" applyBorder="1" applyAlignment="1">
      <alignment horizontal="center" vertical="center"/>
    </xf>
    <xf numFmtId="11" fontId="0" fillId="0" borderId="2" xfId="0" applyNumberFormat="1" applyBorder="1" applyAlignment="1">
      <alignment horizontal="center" vertical="center"/>
    </xf>
    <xf numFmtId="164" fontId="0" fillId="0" borderId="0" xfId="0" applyNumberFormat="1" applyAlignment="1">
      <alignment horizontal="center" vertical="center"/>
    </xf>
    <xf numFmtId="0" fontId="21" fillId="0" borderId="0" xfId="16" applyFont="1" applyBorder="1" applyAlignment="1">
      <alignment horizontal="center" vertical="center" wrapText="1"/>
    </xf>
    <xf numFmtId="0" fontId="0" fillId="0" borderId="4" xfId="0" applyBorder="1" applyAlignment="1">
      <alignment horizontal="center" vertical="center"/>
    </xf>
    <xf numFmtId="11" fontId="0" fillId="2" borderId="4" xfId="0" applyNumberFormat="1" applyFill="1" applyBorder="1" applyAlignment="1">
      <alignment horizontal="center" vertical="center"/>
    </xf>
    <xf numFmtId="164" fontId="0" fillId="0" borderId="4" xfId="0" applyNumberFormat="1" applyBorder="1" applyAlignment="1">
      <alignment horizontal="center" vertical="center"/>
    </xf>
    <xf numFmtId="11" fontId="0" fillId="0" borderId="4" xfId="0" applyNumberFormat="1" applyBorder="1" applyAlignment="1">
      <alignment horizontal="center" vertical="center"/>
    </xf>
    <xf numFmtId="11" fontId="0" fillId="0" borderId="5" xfId="0" applyNumberFormat="1" applyBorder="1" applyAlignment="1">
      <alignment horizontal="center" vertical="center"/>
    </xf>
    <xf numFmtId="164" fontId="0" fillId="0" borderId="5" xfId="0" applyNumberFormat="1" applyBorder="1" applyAlignment="1">
      <alignment horizontal="center" vertical="center"/>
    </xf>
    <xf numFmtId="164" fontId="0" fillId="0" borderId="0" xfId="0" applyNumberFormat="1" applyFill="1" applyAlignment="1">
      <alignment horizontal="center" vertical="center"/>
    </xf>
    <xf numFmtId="11" fontId="83" fillId="56" borderId="40" xfId="0" applyNumberFormat="1" applyFont="1" applyFill="1" applyBorder="1" applyAlignment="1">
      <alignment horizontal="center" vertical="center" wrapText="1"/>
    </xf>
    <xf numFmtId="11" fontId="83" fillId="56" borderId="41" xfId="0" applyNumberFormat="1" applyFont="1" applyFill="1" applyBorder="1" applyAlignment="1">
      <alignment horizontal="center" vertical="center" wrapText="1"/>
    </xf>
    <xf numFmtId="0" fontId="84" fillId="0" borderId="0" xfId="0" applyFont="1" applyBorder="1" applyAlignment="1">
      <alignment horizontal="center" vertical="center" wrapText="1"/>
    </xf>
    <xf numFmtId="164" fontId="83" fillId="0" borderId="0" xfId="0" applyNumberFormat="1" applyFont="1" applyFill="1" applyBorder="1" applyAlignment="1">
      <alignment horizontal="center" vertical="center" wrapText="1"/>
    </xf>
    <xf numFmtId="11" fontId="83" fillId="0" borderId="0" xfId="0" applyNumberFormat="1" applyFont="1" applyFill="1" applyBorder="1" applyAlignment="1">
      <alignment horizontal="center" vertical="center" wrapText="1"/>
    </xf>
    <xf numFmtId="11" fontId="20" fillId="0" borderId="0" xfId="0" applyNumberFormat="1" applyFont="1" applyBorder="1" applyAlignment="1">
      <alignment horizontal="center" vertical="center" wrapText="1"/>
    </xf>
    <xf numFmtId="164" fontId="21" fillId="0" borderId="0" xfId="0" applyNumberFormat="1" applyFont="1" applyFill="1" applyBorder="1" applyAlignment="1">
      <alignment horizontal="center" vertical="center" wrapText="1"/>
    </xf>
    <xf numFmtId="11" fontId="21" fillId="0" borderId="0"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1" fontId="21" fillId="0" borderId="9" xfId="0" applyNumberFormat="1" applyFont="1" applyFill="1" applyBorder="1" applyAlignment="1">
      <alignment horizontal="center" wrapText="1"/>
    </xf>
    <xf numFmtId="11"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wrapText="1"/>
    </xf>
    <xf numFmtId="11" fontId="21" fillId="0" borderId="2" xfId="0" applyNumberFormat="1" applyFont="1" applyFill="1" applyBorder="1" applyAlignment="1">
      <alignment horizontal="center" wrapText="1"/>
    </xf>
    <xf numFmtId="164" fontId="21" fillId="0" borderId="4" xfId="0" applyNumberFormat="1" applyFont="1" applyFill="1" applyBorder="1" applyAlignment="1">
      <alignment horizontal="center" vertical="center" wrapText="1"/>
    </xf>
    <xf numFmtId="11" fontId="21" fillId="0" borderId="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1" fontId="21" fillId="0" borderId="4" xfId="0" applyNumberFormat="1" applyFont="1" applyFill="1" applyBorder="1" applyAlignment="1">
      <alignment horizontal="center" vertical="center" wrapText="1"/>
    </xf>
    <xf numFmtId="11" fontId="21" fillId="0" borderId="5" xfId="0" applyNumberFormat="1" applyFont="1" applyFill="1" applyBorder="1" applyAlignment="1">
      <alignment horizontal="center" wrapText="1"/>
    </xf>
    <xf numFmtId="0" fontId="21" fillId="0" borderId="6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1" fillId="0" borderId="11" xfId="0" applyFont="1" applyFill="1" applyBorder="1" applyAlignment="1">
      <alignment horizontal="center" vertical="center" wrapText="1"/>
    </xf>
    <xf numFmtId="164" fontId="21" fillId="0" borderId="60" xfId="0" applyNumberFormat="1" applyFont="1" applyFill="1" applyBorder="1" applyAlignment="1">
      <alignment horizontal="center" vertical="center" wrapText="1"/>
    </xf>
    <xf numFmtId="11" fontId="21" fillId="0" borderId="60" xfId="0" applyNumberFormat="1" applyFont="1" applyFill="1" applyBorder="1" applyAlignment="1">
      <alignment horizontal="center" vertical="center" wrapText="1"/>
    </xf>
    <xf numFmtId="11" fontId="21" fillId="0" borderId="12" xfId="0" applyNumberFormat="1" applyFont="1" applyFill="1" applyBorder="1" applyAlignment="1">
      <alignment horizontal="center" vertical="center" wrapText="1"/>
    </xf>
    <xf numFmtId="11" fontId="21" fillId="0" borderId="12" xfId="0" applyNumberFormat="1" applyFont="1" applyFill="1" applyBorder="1" applyAlignment="1">
      <alignment horizontal="center" wrapText="1"/>
    </xf>
    <xf numFmtId="0" fontId="21" fillId="0" borderId="5" xfId="0" applyFont="1" applyFill="1" applyBorder="1" applyAlignment="1">
      <alignment horizontal="center" wrapText="1"/>
    </xf>
    <xf numFmtId="0" fontId="2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59" xfId="0" applyFont="1" applyFill="1" applyBorder="1" applyAlignment="1">
      <alignment horizontal="center" vertical="center" wrapText="1"/>
    </xf>
    <xf numFmtId="164" fontId="21" fillId="0" borderId="59" xfId="0" applyNumberFormat="1" applyFont="1" applyFill="1" applyBorder="1" applyAlignment="1">
      <alignment horizontal="center" vertical="center" wrapText="1"/>
    </xf>
    <xf numFmtId="11" fontId="21" fillId="0" borderId="59" xfId="0" applyNumberFormat="1" applyFont="1" applyFill="1" applyBorder="1" applyAlignment="1">
      <alignment horizontal="center" vertical="center" wrapText="1"/>
    </xf>
    <xf numFmtId="11" fontId="21" fillId="0" borderId="32" xfId="0" applyNumberFormat="1" applyFont="1" applyFill="1" applyBorder="1" applyAlignment="1">
      <alignment horizontal="center" vertical="center" wrapText="1"/>
    </xf>
    <xf numFmtId="11" fontId="21" fillId="0" borderId="32" xfId="0" applyNumberFormat="1" applyFont="1" applyFill="1" applyBorder="1" applyAlignment="1">
      <alignment horizontal="center" wrapText="1"/>
    </xf>
    <xf numFmtId="11" fontId="21" fillId="0" borderId="10" xfId="0" applyNumberFormat="1" applyFont="1" applyFill="1" applyBorder="1" applyAlignment="1">
      <alignment horizontal="center" wrapText="1"/>
    </xf>
    <xf numFmtId="11" fontId="20" fillId="0" borderId="5" xfId="0" applyNumberFormat="1" applyFont="1" applyFill="1" applyBorder="1" applyAlignment="1">
      <alignment horizont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32" xfId="0" applyFont="1" applyFill="1" applyBorder="1" applyAlignment="1">
      <alignment horizontal="center" wrapText="1"/>
    </xf>
    <xf numFmtId="0" fontId="21" fillId="0" borderId="12" xfId="0" applyFont="1" applyFill="1" applyBorder="1" applyAlignment="1">
      <alignment horizontal="center" wrapText="1"/>
    </xf>
    <xf numFmtId="0" fontId="22" fillId="0" borderId="59" xfId="0" applyFont="1" applyFill="1" applyBorder="1" applyAlignment="1">
      <alignment horizontal="center" vertical="center" wrapText="1"/>
    </xf>
    <xf numFmtId="0" fontId="20" fillId="0" borderId="0" xfId="0" applyFont="1" applyBorder="1" applyAlignment="1">
      <alignment horizontal="center" wrapText="1"/>
    </xf>
    <xf numFmtId="164" fontId="20" fillId="0" borderId="40" xfId="0" applyNumberFormat="1" applyFont="1" applyFill="1" applyBorder="1" applyAlignment="1">
      <alignment horizontal="center" wrapText="1"/>
    </xf>
    <xf numFmtId="0" fontId="83" fillId="0" borderId="40" xfId="0" applyFont="1" applyFill="1" applyBorder="1" applyAlignment="1">
      <alignment horizontal="center" wrapText="1"/>
    </xf>
    <xf numFmtId="11" fontId="83" fillId="56" borderId="40" xfId="0" applyNumberFormat="1" applyFont="1" applyFill="1" applyBorder="1" applyAlignment="1">
      <alignment horizontal="center" wrapText="1"/>
    </xf>
    <xf numFmtId="11" fontId="83" fillId="56" borderId="41" xfId="0" applyNumberFormat="1" applyFont="1" applyFill="1" applyBorder="1" applyAlignment="1">
      <alignment horizontal="center" wrapText="1"/>
    </xf>
    <xf numFmtId="0" fontId="70" fillId="0" borderId="0" xfId="0" applyFont="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10" fillId="0" borderId="43" xfId="0" applyFont="1" applyBorder="1" applyAlignment="1">
      <alignment horizontal="center"/>
    </xf>
    <xf numFmtId="0" fontId="10" fillId="56" borderId="1" xfId="0" applyFont="1" applyFill="1" applyBorder="1" applyAlignment="1">
      <alignment horizontal="left" vertical="center"/>
    </xf>
    <xf numFmtId="0" fontId="17" fillId="0" borderId="62" xfId="0" applyFont="1" applyFill="1" applyBorder="1" applyAlignment="1">
      <alignment horizontal="center" vertical="center"/>
    </xf>
    <xf numFmtId="0" fontId="10" fillId="56" borderId="11" xfId="0" applyFont="1" applyFill="1" applyBorder="1" applyAlignment="1">
      <alignment horizontal="left"/>
    </xf>
    <xf numFmtId="0" fontId="10" fillId="56" borderId="11" xfId="0" applyFont="1" applyFill="1" applyBorder="1" applyAlignment="1">
      <alignment horizontal="center"/>
    </xf>
    <xf numFmtId="0" fontId="65" fillId="56" borderId="11" xfId="0" applyFont="1" applyFill="1" applyBorder="1" applyAlignment="1">
      <alignment horizontal="left" vertical="center"/>
    </xf>
    <xf numFmtId="0" fontId="10" fillId="0" borderId="41" xfId="0" applyFont="1" applyBorder="1" applyAlignment="1">
      <alignment horizontal="center" wrapText="1"/>
    </xf>
    <xf numFmtId="0" fontId="74" fillId="0" borderId="0" xfId="331" applyFont="1" applyFill="1" applyAlignment="1">
      <alignment horizontal="left" vertical="center"/>
    </xf>
    <xf numFmtId="0" fontId="87" fillId="0" borderId="0" xfId="331" applyFont="1" applyFill="1" applyAlignment="1">
      <alignment horizontal="left" vertical="top"/>
    </xf>
    <xf numFmtId="0" fontId="66" fillId="0" borderId="0" xfId="331" applyFont="1" applyFill="1" applyAlignment="1">
      <alignment vertical="top"/>
    </xf>
    <xf numFmtId="0" fontId="10" fillId="0" borderId="40" xfId="0"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499" applyFont="1"/>
    <xf numFmtId="0" fontId="10" fillId="0" borderId="0" xfId="499" applyFont="1" applyAlignment="1">
      <alignment horizontal="center"/>
    </xf>
    <xf numFmtId="0" fontId="17" fillId="0" borderId="0" xfId="499" applyFont="1"/>
    <xf numFmtId="0" fontId="17" fillId="0" borderId="0" xfId="499" applyFont="1" applyAlignment="1">
      <alignment horizontal="center"/>
    </xf>
    <xf numFmtId="0" fontId="17" fillId="0" borderId="61" xfId="499" applyFont="1" applyBorder="1"/>
    <xf numFmtId="0" fontId="10" fillId="0" borderId="40" xfId="499" applyFont="1" applyBorder="1"/>
    <xf numFmtId="0" fontId="10" fillId="0" borderId="40" xfId="499" applyFont="1" applyBorder="1" applyAlignment="1">
      <alignment horizontal="center"/>
    </xf>
    <xf numFmtId="11" fontId="25" fillId="0" borderId="0" xfId="0" applyNumberFormat="1" applyFont="1"/>
    <xf numFmtId="11" fontId="0" fillId="0" borderId="0" xfId="0" applyNumberFormat="1"/>
    <xf numFmtId="0" fontId="17" fillId="0" borderId="0" xfId="499" applyFont="1" applyBorder="1"/>
    <xf numFmtId="0" fontId="0" fillId="0" borderId="4" xfId="0" applyBorder="1"/>
    <xf numFmtId="11" fontId="0" fillId="0" borderId="4" xfId="0" applyNumberFormat="1" applyBorder="1"/>
    <xf numFmtId="165" fontId="0" fillId="0" borderId="62" xfId="0" applyNumberFormat="1" applyFill="1" applyBorder="1" applyAlignment="1">
      <alignment horizontal="center"/>
    </xf>
    <xf numFmtId="165" fontId="0" fillId="0" borderId="61" xfId="0" applyNumberFormat="1" applyFill="1" applyBorder="1" applyAlignment="1">
      <alignment horizontal="center"/>
    </xf>
    <xf numFmtId="11" fontId="0" fillId="0" borderId="63" xfId="0" applyNumberFormat="1" applyFill="1" applyBorder="1" applyAlignment="1">
      <alignment horizontal="center"/>
    </xf>
    <xf numFmtId="165" fontId="0" fillId="0" borderId="11" xfId="0" applyNumberFormat="1" applyFill="1" applyBorder="1" applyAlignment="1">
      <alignment horizontal="center"/>
    </xf>
    <xf numFmtId="165" fontId="0" fillId="0" borderId="60" xfId="0" applyNumberFormat="1" applyFill="1" applyBorder="1" applyAlignment="1">
      <alignment horizontal="center"/>
    </xf>
    <xf numFmtId="11" fontId="0" fillId="0" borderId="12" xfId="0" applyNumberFormat="1" applyFill="1" applyBorder="1" applyAlignment="1">
      <alignment horizontal="center"/>
    </xf>
    <xf numFmtId="11" fontId="0" fillId="61" borderId="2" xfId="0" applyNumberFormat="1" applyFill="1" applyBorder="1" applyAlignment="1">
      <alignment horizontal="center"/>
    </xf>
    <xf numFmtId="11" fontId="21" fillId="0" borderId="5" xfId="0" applyNumberFormat="1" applyFont="1" applyBorder="1" applyAlignment="1">
      <alignment horizontal="center" vertical="center"/>
    </xf>
    <xf numFmtId="11" fontId="0" fillId="0" borderId="0" xfId="0" applyNumberFormat="1" applyFont="1" applyBorder="1" applyAlignment="1">
      <alignment horizontal="center" vertical="center"/>
    </xf>
    <xf numFmtId="0" fontId="66" fillId="0" borderId="31" xfId="331" applyFont="1" applyFill="1" applyBorder="1" applyAlignment="1">
      <alignment horizontal="left" vertical="top" wrapText="1"/>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74" fillId="0" borderId="0" xfId="331" applyFont="1" applyFill="1" applyBorder="1" applyAlignment="1">
      <alignment horizontal="left" vertical="center"/>
    </xf>
    <xf numFmtId="0" fontId="74" fillId="0" borderId="0" xfId="481" applyFont="1" applyFill="1" applyBorder="1" applyAlignment="1">
      <alignment horizontal="left" vertical="center" wrapText="1"/>
    </xf>
    <xf numFmtId="0" fontId="74" fillId="0" borderId="0" xfId="331" applyFont="1" applyFill="1" applyBorder="1" applyAlignment="1">
      <alignment horizontal="left" vertical="center" wrapText="1"/>
    </xf>
    <xf numFmtId="0" fontId="66" fillId="0" borderId="31" xfId="331" applyFont="1" applyFill="1" applyBorder="1" applyAlignment="1">
      <alignment horizontal="left" vertical="center"/>
    </xf>
    <xf numFmtId="0" fontId="66" fillId="0" borderId="31" xfId="476" applyFont="1" applyFill="1" applyBorder="1" applyAlignment="1">
      <alignment horizontal="left" vertical="center" wrapText="1"/>
    </xf>
    <xf numFmtId="0" fontId="66" fillId="0" borderId="31" xfId="331" applyFont="1" applyFill="1" applyBorder="1" applyAlignment="1">
      <alignment horizontal="left" vertical="center" wrapText="1"/>
    </xf>
    <xf numFmtId="0" fontId="66" fillId="0" borderId="31" xfId="476" applyFont="1" applyFill="1" applyBorder="1" applyAlignment="1">
      <alignment horizontal="left" vertical="center"/>
    </xf>
    <xf numFmtId="0" fontId="68" fillId="0" borderId="31" xfId="482" applyFont="1" applyFill="1" applyBorder="1" applyAlignment="1">
      <alignment horizontal="left" vertical="center"/>
    </xf>
    <xf numFmtId="0" fontId="66" fillId="0" borderId="31" xfId="331" applyNumberFormat="1" applyFont="1" applyFill="1" applyBorder="1" applyAlignment="1" applyProtection="1">
      <alignment horizontal="left" vertical="center" wrapText="1"/>
    </xf>
    <xf numFmtId="0" fontId="68" fillId="0" borderId="31" xfId="482" applyFont="1" applyFill="1" applyBorder="1" applyAlignment="1">
      <alignment horizontal="left" vertical="center" wrapText="1"/>
    </xf>
    <xf numFmtId="49" fontId="66" fillId="0" borderId="31" xfId="331" applyNumberFormat="1" applyFont="1" applyFill="1" applyBorder="1" applyAlignment="1">
      <alignment horizontal="left" vertical="center" wrapText="1"/>
    </xf>
    <xf numFmtId="0" fontId="66" fillId="0" borderId="31" xfId="482" applyFont="1" applyFill="1" applyBorder="1" applyAlignment="1">
      <alignment horizontal="left" vertical="center" wrapText="1"/>
    </xf>
    <xf numFmtId="0" fontId="66" fillId="0" borderId="31" xfId="331" applyNumberFormat="1" applyFont="1" applyFill="1" applyBorder="1" applyAlignment="1" applyProtection="1">
      <alignment horizontal="left" vertical="top" wrapText="1"/>
    </xf>
    <xf numFmtId="0" fontId="66" fillId="0" borderId="31" xfId="331" applyFont="1" applyFill="1" applyBorder="1" applyAlignment="1">
      <alignment horizontal="left" vertical="top"/>
    </xf>
    <xf numFmtId="0" fontId="21" fillId="0" borderId="0" xfId="0" applyFont="1" applyFill="1" applyAlignment="1">
      <alignment horizontal="center" vertical="center"/>
    </xf>
    <xf numFmtId="0" fontId="83" fillId="0" borderId="0" xfId="0" applyFont="1"/>
    <xf numFmtId="1" fontId="0" fillId="0" borderId="0" xfId="0" applyNumberFormat="1" applyFont="1" applyFill="1" applyBorder="1" applyAlignment="1">
      <alignment horizontal="center" vertical="center"/>
    </xf>
    <xf numFmtId="0" fontId="17" fillId="0" borderId="0" xfId="472" applyFont="1" applyFill="1" applyBorder="1" applyAlignment="1" applyProtection="1">
      <alignment horizontal="center" vertical="center"/>
      <protection locked="0"/>
    </xf>
    <xf numFmtId="0" fontId="17" fillId="0" borderId="0" xfId="472" applyFont="1" applyFill="1" applyAlignment="1" applyProtection="1">
      <alignment horizontal="center" vertical="center"/>
      <protection locked="0"/>
    </xf>
    <xf numFmtId="11" fontId="17" fillId="0" borderId="0" xfId="472" applyNumberFormat="1" applyFont="1" applyFill="1" applyAlignment="1" applyProtection="1">
      <alignment horizontal="center" vertical="center"/>
      <protection locked="0"/>
    </xf>
    <xf numFmtId="0" fontId="17" fillId="0" borderId="0" xfId="472" applyFont="1" applyFill="1" applyAlignment="1">
      <alignment horizontal="center" vertical="center"/>
    </xf>
    <xf numFmtId="11" fontId="17" fillId="0" borderId="0" xfId="472" applyNumberFormat="1" applyFont="1" applyFill="1" applyAlignment="1">
      <alignment horizontal="center" vertical="center"/>
    </xf>
    <xf numFmtId="0" fontId="17" fillId="0" borderId="0" xfId="472" applyFont="1" applyFill="1" applyBorder="1" applyAlignment="1">
      <alignment horizontal="center" vertical="center"/>
    </xf>
    <xf numFmtId="11" fontId="17" fillId="0" borderId="0" xfId="472" applyNumberFormat="1" applyFont="1" applyFill="1" applyBorder="1" applyAlignment="1">
      <alignment horizontal="center" vertical="center"/>
    </xf>
    <xf numFmtId="0" fontId="17" fillId="0" borderId="0" xfId="0" applyNumberFormat="1" applyFont="1" applyFill="1" applyAlignment="1">
      <alignment horizontal="center" vertical="center"/>
    </xf>
    <xf numFmtId="11" fontId="17" fillId="0" borderId="0" xfId="0" applyNumberFormat="1" applyFont="1" applyFill="1" applyBorder="1" applyAlignment="1">
      <alignment horizontal="center" vertical="center"/>
    </xf>
    <xf numFmtId="11" fontId="17" fillId="0" borderId="0" xfId="3" applyNumberFormat="1" applyFont="1" applyFill="1" applyBorder="1" applyAlignment="1">
      <alignment horizontal="center" vertical="center"/>
    </xf>
    <xf numFmtId="0" fontId="17" fillId="0" borderId="4" xfId="0" applyFont="1" applyFill="1" applyBorder="1" applyAlignment="1" applyProtection="1">
      <alignment horizontal="center" vertical="center"/>
      <protection locked="0"/>
    </xf>
    <xf numFmtId="164" fontId="17" fillId="0" borderId="4" xfId="0" applyNumberFormat="1" applyFont="1" applyFill="1" applyBorder="1" applyAlignment="1" applyProtection="1">
      <alignment horizontal="center" vertical="center"/>
      <protection locked="0"/>
    </xf>
    <xf numFmtId="11" fontId="17" fillId="0" borderId="4" xfId="0" applyNumberFormat="1" applyFont="1" applyFill="1" applyBorder="1" applyAlignment="1" applyProtection="1">
      <alignment horizontal="center" vertical="center"/>
      <protection locked="0"/>
    </xf>
    <xf numFmtId="11" fontId="17" fillId="0" borderId="4" xfId="3" applyNumberFormat="1" applyFont="1" applyFill="1" applyBorder="1" applyAlignment="1" applyProtection="1">
      <alignment horizontal="center" vertical="center"/>
      <protection locked="0"/>
    </xf>
    <xf numFmtId="0" fontId="17" fillId="0" borderId="4" xfId="472" applyFont="1" applyFill="1" applyBorder="1" applyAlignment="1" applyProtection="1">
      <alignment horizontal="center" vertical="center"/>
      <protection locked="0"/>
    </xf>
    <xf numFmtId="11" fontId="0" fillId="0" borderId="0" xfId="0" applyNumberFormat="1" applyFont="1" applyFill="1" applyAlignment="1">
      <alignment horizontal="center" vertical="center"/>
    </xf>
    <xf numFmtId="164" fontId="0" fillId="0" borderId="0" xfId="0" applyNumberFormat="1" applyFont="1" applyFill="1" applyAlignment="1">
      <alignment horizontal="center" vertical="center"/>
    </xf>
    <xf numFmtId="0" fontId="10" fillId="56" borderId="0" xfId="0" applyFont="1" applyFill="1" applyAlignment="1">
      <alignment horizontal="left" vertical="center"/>
    </xf>
    <xf numFmtId="0" fontId="0" fillId="0" borderId="0" xfId="0" applyFont="1" applyAlignment="1">
      <alignment horizontal="lef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5" fillId="0" borderId="0" xfId="0" applyFont="1" applyFill="1" applyAlignment="1">
      <alignment horizontal="center" vertical="center"/>
    </xf>
    <xf numFmtId="0" fontId="0" fillId="0" borderId="0" xfId="0" applyFill="1" applyAlignment="1">
      <alignment horizontal="left"/>
    </xf>
    <xf numFmtId="0" fontId="15" fillId="0" borderId="4" xfId="0" applyFont="1" applyBorder="1" applyAlignment="1">
      <alignment horizontal="center" vertical="center"/>
    </xf>
    <xf numFmtId="0" fontId="15" fillId="0" borderId="60" xfId="0" applyFont="1" applyBorder="1" applyAlignment="1">
      <alignment horizontal="center" vertical="center"/>
    </xf>
    <xf numFmtId="0" fontId="10" fillId="0" borderId="40" xfId="0" applyFont="1" applyBorder="1" applyAlignment="1">
      <alignment horizontal="center" vertical="center" wrapText="1"/>
    </xf>
    <xf numFmtId="0" fontId="15" fillId="0" borderId="0" xfId="0" applyFont="1" applyBorder="1" applyAlignment="1">
      <alignment horizontal="center" vertical="center"/>
    </xf>
    <xf numFmtId="0" fontId="16" fillId="0" borderId="64" xfId="0" applyFont="1" applyBorder="1" applyAlignment="1">
      <alignment horizontal="center"/>
    </xf>
    <xf numFmtId="0" fontId="15" fillId="0" borderId="61" xfId="0" applyFont="1" applyFill="1" applyBorder="1" applyAlignment="1">
      <alignment horizontal="center" vertical="center"/>
    </xf>
    <xf numFmtId="3" fontId="17" fillId="0" borderId="62"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3" fontId="17" fillId="0" borderId="3" xfId="0" applyNumberFormat="1" applyFont="1" applyFill="1" applyBorder="1" applyAlignment="1">
      <alignment horizontal="center" vertical="center"/>
    </xf>
    <xf numFmtId="164" fontId="10" fillId="0" borderId="64" xfId="0" applyNumberFormat="1" applyFont="1" applyFill="1" applyBorder="1" applyAlignment="1">
      <alignment horizontal="center" wrapText="1"/>
    </xf>
    <xf numFmtId="165" fontId="0" fillId="0" borderId="61" xfId="0" applyNumberFormat="1" applyBorder="1" applyAlignment="1">
      <alignment horizontal="center"/>
    </xf>
    <xf numFmtId="0" fontId="16" fillId="56" borderId="65" xfId="0" applyFont="1" applyFill="1" applyBorder="1" applyAlignment="1">
      <alignment horizontal="center"/>
    </xf>
    <xf numFmtId="0" fontId="16" fillId="56" borderId="11" xfId="0" applyFont="1" applyFill="1" applyBorder="1" applyAlignment="1">
      <alignment horizontal="center"/>
    </xf>
    <xf numFmtId="0" fontId="65" fillId="56" borderId="11" xfId="0" applyFont="1" applyFill="1" applyBorder="1" applyAlignment="1">
      <alignment horizontal="center" vertical="center"/>
    </xf>
    <xf numFmtId="0" fontId="10" fillId="0" borderId="43" xfId="0" applyFont="1" applyBorder="1" applyAlignment="1">
      <alignment horizontal="center" wrapText="1"/>
    </xf>
    <xf numFmtId="164" fontId="17" fillId="0" borderId="61" xfId="0" applyNumberFormat="1" applyFont="1" applyFill="1" applyBorder="1" applyAlignment="1">
      <alignment horizontal="center" vertical="center"/>
    </xf>
    <xf numFmtId="0" fontId="10" fillId="56" borderId="65" xfId="0" applyFont="1" applyFill="1" applyBorder="1" applyAlignment="1">
      <alignment horizontal="center" wrapText="1"/>
    </xf>
    <xf numFmtId="0" fontId="0" fillId="0" borderId="62" xfId="0" applyFont="1" applyBorder="1" applyAlignment="1">
      <alignment horizontal="center"/>
    </xf>
    <xf numFmtId="0" fontId="0" fillId="0" borderId="11" xfId="0" applyBorder="1" applyAlignment="1">
      <alignment horizontal="center"/>
    </xf>
    <xf numFmtId="0" fontId="10" fillId="56" borderId="11" xfId="0" applyFont="1" applyFill="1" applyBorder="1" applyAlignment="1">
      <alignment horizontal="left" vertical="center"/>
    </xf>
    <xf numFmtId="0" fontId="10" fillId="0" borderId="64" xfId="0" applyFont="1" applyBorder="1" applyAlignment="1">
      <alignment horizontal="center"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left"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11" fontId="0" fillId="0" borderId="4" xfId="0" applyNumberFormat="1" applyBorder="1" applyAlignment="1">
      <alignment horizontal="center" vertical="center" wrapText="1"/>
    </xf>
    <xf numFmtId="3" fontId="0" fillId="0" borderId="4" xfId="0" applyNumberForma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11" fontId="0" fillId="0" borderId="0" xfId="0" applyNumberFormat="1" applyBorder="1" applyAlignment="1">
      <alignment horizontal="center" vertical="center" wrapText="1"/>
    </xf>
    <xf numFmtId="3" fontId="0" fillId="0" borderId="0" xfId="0" applyNumberFormat="1" applyBorder="1" applyAlignment="1">
      <alignment horizontal="center" vertical="center" wrapText="1"/>
    </xf>
    <xf numFmtId="0" fontId="0" fillId="0" borderId="63" xfId="0" applyBorder="1" applyAlignment="1">
      <alignment horizontal="center" vertical="center" wrapText="1"/>
    </xf>
    <xf numFmtId="0" fontId="0" fillId="0" borderId="61" xfId="0" applyBorder="1" applyAlignment="1">
      <alignment horizontal="center" vertical="center" wrapText="1"/>
    </xf>
    <xf numFmtId="11" fontId="0" fillId="0" borderId="61" xfId="0" applyNumberFormat="1" applyBorder="1" applyAlignment="1">
      <alignment horizontal="center" vertical="center" wrapText="1"/>
    </xf>
    <xf numFmtId="3" fontId="0" fillId="0" borderId="61" xfId="0" applyNumberFormat="1" applyBorder="1" applyAlignment="1">
      <alignment horizontal="center" vertical="center" wrapText="1"/>
    </xf>
    <xf numFmtId="0" fontId="15" fillId="0" borderId="61" xfId="0" applyFont="1" applyBorder="1" applyAlignment="1">
      <alignment horizontal="center" vertical="center"/>
    </xf>
    <xf numFmtId="0" fontId="0" fillId="0" borderId="0" xfId="0" quotePrefix="1" applyBorder="1" applyAlignment="1">
      <alignment horizontal="center" vertical="center" wrapText="1"/>
    </xf>
    <xf numFmtId="0" fontId="0" fillId="0" borderId="61" xfId="0" quotePrefix="1" applyBorder="1" applyAlignment="1">
      <alignment horizontal="center" vertical="center" wrapText="1"/>
    </xf>
    <xf numFmtId="0" fontId="0" fillId="0" borderId="12" xfId="0" applyBorder="1" applyAlignment="1">
      <alignment horizontal="center" vertical="center" wrapText="1"/>
    </xf>
    <xf numFmtId="0" fontId="0" fillId="0" borderId="60" xfId="0" quotePrefix="1" applyBorder="1" applyAlignment="1">
      <alignment horizontal="center" vertical="center" wrapText="1"/>
    </xf>
    <xf numFmtId="0" fontId="0" fillId="0" borderId="60" xfId="0" applyBorder="1" applyAlignment="1">
      <alignment horizontal="center" vertical="center" wrapText="1"/>
    </xf>
    <xf numFmtId="11" fontId="0" fillId="0" borderId="60" xfId="0" applyNumberFormat="1" applyBorder="1" applyAlignment="1">
      <alignment horizontal="center" vertical="center" wrapText="1"/>
    </xf>
    <xf numFmtId="3" fontId="0" fillId="0" borderId="60" xfId="0" applyNumberFormat="1" applyBorder="1" applyAlignment="1">
      <alignment horizontal="center" vertical="center" wrapText="1"/>
    </xf>
    <xf numFmtId="0" fontId="15" fillId="0" borderId="60" xfId="0" applyFont="1" applyBorder="1" applyAlignment="1">
      <alignment horizontal="center" vertical="center" wrapText="1"/>
    </xf>
    <xf numFmtId="0" fontId="0" fillId="0" borderId="11" xfId="0" applyBorder="1" applyAlignment="1">
      <alignment horizontal="center" vertical="center" wrapText="1"/>
    </xf>
    <xf numFmtId="164" fontId="17" fillId="0" borderId="60" xfId="0" applyNumberFormat="1" applyFont="1" applyFill="1" applyBorder="1" applyAlignment="1">
      <alignment horizontal="center" vertical="center"/>
    </xf>
    <xf numFmtId="0" fontId="0" fillId="0" borderId="60" xfId="0" applyFont="1" applyBorder="1" applyAlignment="1">
      <alignment horizontal="center" vertical="center" wrapText="1"/>
    </xf>
    <xf numFmtId="0" fontId="0" fillId="62" borderId="0" xfId="0" applyFill="1" applyAlignment="1">
      <alignment horizontal="center" vertical="center" wrapText="1"/>
    </xf>
    <xf numFmtId="0" fontId="0" fillId="0" borderId="4" xfId="0" quotePrefix="1"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11" fontId="0" fillId="0" borderId="44" xfId="0" applyNumberFormat="1" applyBorder="1" applyAlignment="1">
      <alignment horizontal="center" vertical="center" wrapText="1"/>
    </xf>
    <xf numFmtId="3" fontId="0" fillId="0" borderId="44" xfId="0" applyNumberFormat="1" applyBorder="1" applyAlignment="1">
      <alignment horizontal="center" vertical="center" wrapText="1"/>
    </xf>
    <xf numFmtId="0" fontId="15" fillId="0" borderId="44" xfId="0" applyFont="1" applyBorder="1" applyAlignment="1">
      <alignment horizontal="center" vertical="center"/>
    </xf>
    <xf numFmtId="0" fontId="10" fillId="0" borderId="0" xfId="0" applyFont="1" applyAlignment="1">
      <alignment horizontal="center" vertical="center" wrapText="1"/>
    </xf>
    <xf numFmtId="3" fontId="10" fillId="0" borderId="64" xfId="0" applyNumberFormat="1" applyFont="1" applyBorder="1" applyAlignment="1">
      <alignment horizontal="center" vertical="center" wrapText="1"/>
    </xf>
    <xf numFmtId="0" fontId="10" fillId="0" borderId="64" xfId="0" applyFont="1" applyBorder="1" applyAlignment="1">
      <alignment horizontal="center" wrapText="1"/>
    </xf>
    <xf numFmtId="0" fontId="10" fillId="0" borderId="64" xfId="0" applyFont="1" applyFill="1" applyBorder="1" applyAlignment="1">
      <alignment horizontal="center" wrapText="1"/>
    </xf>
    <xf numFmtId="0" fontId="10" fillId="0" borderId="64" xfId="0" applyFont="1" applyBorder="1" applyAlignment="1">
      <alignment horizontal="center"/>
    </xf>
    <xf numFmtId="0" fontId="10" fillId="0" borderId="64" xfId="0" applyFont="1" applyFill="1" applyBorder="1" applyAlignment="1">
      <alignment horizontal="center"/>
    </xf>
    <xf numFmtId="0" fontId="17" fillId="0" borderId="61" xfId="0" applyFont="1" applyFill="1" applyBorder="1" applyAlignment="1">
      <alignment horizontal="center" vertical="center"/>
    </xf>
    <xf numFmtId="11" fontId="0" fillId="0" borderId="63" xfId="0" applyNumberFormat="1" applyBorder="1" applyAlignment="1">
      <alignment horizontal="center"/>
    </xf>
    <xf numFmtId="169" fontId="10" fillId="0" borderId="63" xfId="0" applyNumberFormat="1" applyFont="1" applyFill="1" applyBorder="1" applyAlignment="1">
      <alignment horizontal="center" vertical="center"/>
    </xf>
    <xf numFmtId="0" fontId="10" fillId="56" borderId="11" xfId="0" applyFont="1" applyFill="1" applyBorder="1" applyAlignment="1">
      <alignment horizontal="center" vertical="center"/>
    </xf>
    <xf numFmtId="0" fontId="1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15" fillId="0" borderId="4" xfId="0" applyFont="1" applyBorder="1" applyAlignment="1">
      <alignment horizontal="center" vertical="center"/>
    </xf>
    <xf numFmtId="0" fontId="15" fillId="0" borderId="60" xfId="0" applyFont="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11" fontId="0" fillId="0" borderId="5" xfId="0" applyNumberFormat="1" applyFont="1" applyBorder="1" applyAlignment="1">
      <alignment horizontal="center" vertical="center"/>
    </xf>
    <xf numFmtId="11" fontId="0" fillId="0" borderId="32" xfId="0" applyNumberFormat="1"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15" fillId="0" borderId="59" xfId="0" applyFont="1" applyBorder="1" applyAlignment="1">
      <alignment horizontal="center" vertical="center"/>
    </xf>
    <xf numFmtId="0" fontId="15" fillId="0" borderId="0" xfId="0" applyFont="1" applyBorder="1" applyAlignment="1">
      <alignment horizontal="center" vertical="center"/>
    </xf>
    <xf numFmtId="0" fontId="0" fillId="0" borderId="61" xfId="0" applyFont="1" applyBorder="1" applyAlignment="1">
      <alignment horizontal="center" vertical="center"/>
    </xf>
    <xf numFmtId="0" fontId="17" fillId="0" borderId="0" xfId="0" applyFont="1" applyFill="1" applyAlignment="1">
      <alignment horizontal="center" vertical="center"/>
    </xf>
    <xf numFmtId="0" fontId="76" fillId="0" borderId="0" xfId="0" applyFont="1" applyAlignment="1">
      <alignment horizontal="left" vertical="center" wrapText="1"/>
    </xf>
    <xf numFmtId="0" fontId="0" fillId="0" borderId="0" xfId="0" applyFont="1" applyFill="1" applyAlignment="1">
      <alignment horizontal="left" vertical="center" wrapText="1"/>
    </xf>
    <xf numFmtId="0" fontId="0" fillId="0" borderId="59"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0" fillId="56" borderId="0" xfId="0" applyFont="1" applyFill="1" applyAlignment="1">
      <alignment horizontal="left" vertical="center"/>
    </xf>
    <xf numFmtId="0" fontId="0" fillId="0" borderId="0" xfId="0" applyFont="1" applyFill="1" applyAlignment="1">
      <alignment horizontal="left" vertical="center"/>
    </xf>
    <xf numFmtId="0" fontId="17" fillId="0" borderId="0" xfId="0" applyFont="1" applyFill="1" applyAlignment="1">
      <alignment horizontal="left" vertical="center"/>
    </xf>
    <xf numFmtId="0" fontId="17" fillId="0" borderId="0" xfId="0" applyFont="1" applyFill="1" applyAlignment="1">
      <alignment horizontal="center" vertical="center" wrapText="1"/>
    </xf>
    <xf numFmtId="0" fontId="15" fillId="0" borderId="0" xfId="0" applyFont="1" applyFill="1" applyAlignment="1">
      <alignment horizontal="center" vertical="center" wrapText="1"/>
    </xf>
    <xf numFmtId="0" fontId="0" fillId="0" borderId="0" xfId="0" applyFont="1" applyFill="1" applyAlignment="1">
      <alignment horizontal="center" vertical="center" wrapText="1"/>
    </xf>
    <xf numFmtId="0" fontId="76" fillId="0" borderId="0" xfId="0" applyFont="1" applyFill="1" applyAlignment="1">
      <alignment horizontal="left" vertical="center" wrapText="1"/>
    </xf>
    <xf numFmtId="0" fontId="14" fillId="0" borderId="0" xfId="0" applyFont="1" applyFill="1" applyBorder="1" applyAlignment="1">
      <alignment horizontal="left" vertical="center"/>
    </xf>
    <xf numFmtId="0" fontId="0" fillId="0" borderId="0" xfId="0" applyFont="1" applyAlignment="1">
      <alignment horizontal="left" vertical="center"/>
    </xf>
    <xf numFmtId="0" fontId="17" fillId="0" borderId="0" xfId="0" applyFont="1" applyAlignment="1">
      <alignment horizontal="left" vertical="center"/>
    </xf>
    <xf numFmtId="0" fontId="0" fillId="0" borderId="0" xfId="0" applyFont="1" applyAlignment="1">
      <alignment horizontal="left" vertical="center" wrapText="1"/>
    </xf>
    <xf numFmtId="0" fontId="17" fillId="0" borderId="0" xfId="0" applyFont="1" applyAlignment="1">
      <alignment horizontal="left" vertical="center" wrapText="1"/>
    </xf>
    <xf numFmtId="0" fontId="10" fillId="56" borderId="0" xfId="0" applyFont="1" applyFill="1" applyBorder="1" applyAlignment="1">
      <alignment horizontal="left" vertical="center"/>
    </xf>
    <xf numFmtId="0" fontId="10" fillId="56" borderId="2" xfId="0" applyFont="1" applyFill="1" applyBorder="1" applyAlignment="1">
      <alignment horizontal="left" vertical="center"/>
    </xf>
    <xf numFmtId="0" fontId="21" fillId="0" borderId="0" xfId="0" applyFont="1" applyAlignment="1">
      <alignment horizontal="left" vertical="center"/>
    </xf>
    <xf numFmtId="0" fontId="21" fillId="0" borderId="0" xfId="0" applyFont="1" applyFill="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4" fillId="0" borderId="44"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2" xfId="0" applyFont="1" applyFill="1" applyBorder="1" applyAlignment="1">
      <alignment horizontal="left" vertical="center"/>
    </xf>
    <xf numFmtId="0" fontId="17" fillId="0" borderId="0" xfId="0" applyFont="1" applyFill="1" applyAlignment="1">
      <alignment horizontal="left" vertical="center" wrapText="1"/>
    </xf>
    <xf numFmtId="0" fontId="15"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59" xfId="0" applyFont="1" applyFill="1" applyBorder="1" applyAlignment="1">
      <alignment horizontal="center" vertical="center"/>
    </xf>
    <xf numFmtId="0" fontId="10" fillId="0" borderId="40" xfId="0" applyFont="1" applyFill="1" applyBorder="1" applyAlignment="1">
      <alignment horizontal="center" vertical="center"/>
    </xf>
    <xf numFmtId="0" fontId="20" fillId="0" borderId="59" xfId="0" applyFont="1" applyFill="1" applyBorder="1" applyAlignment="1">
      <alignment horizontal="center" vertical="center" wrapText="1"/>
    </xf>
    <xf numFmtId="0" fontId="20" fillId="0" borderId="40" xfId="0" applyFont="1" applyFill="1" applyBorder="1" applyAlignment="1">
      <alignment horizontal="center" vertical="center" wrapText="1"/>
    </xf>
    <xf numFmtId="11" fontId="10" fillId="0" borderId="59" xfId="0" applyNumberFormat="1" applyFont="1" applyFill="1" applyBorder="1" applyAlignment="1">
      <alignment horizontal="center" vertical="center" wrapText="1"/>
    </xf>
    <xf numFmtId="11" fontId="10" fillId="0" borderId="40"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60" xfId="0" applyFont="1" applyFill="1" applyBorder="1" applyAlignment="1">
      <alignment horizontal="center" vertical="center"/>
    </xf>
    <xf numFmtId="0" fontId="20" fillId="0" borderId="0" xfId="476" applyFont="1" applyFill="1" applyBorder="1" applyAlignment="1">
      <alignment horizontal="left" vertical="center" wrapText="1"/>
    </xf>
    <xf numFmtId="0" fontId="20" fillId="0" borderId="59" xfId="476" applyFont="1" applyFill="1" applyBorder="1" applyAlignment="1">
      <alignment horizontal="center" vertical="center" wrapText="1"/>
    </xf>
    <xf numFmtId="0" fontId="20" fillId="0" borderId="40" xfId="476" applyFont="1" applyFill="1" applyBorder="1" applyAlignment="1">
      <alignment horizontal="center" vertical="center" wrapText="1"/>
    </xf>
    <xf numFmtId="3" fontId="20" fillId="0" borderId="0" xfId="476" applyNumberFormat="1" applyFont="1" applyFill="1" applyBorder="1" applyAlignment="1">
      <alignment horizontal="center" vertical="center" wrapText="1"/>
    </xf>
    <xf numFmtId="3" fontId="20" fillId="0" borderId="40" xfId="476" applyNumberFormat="1" applyFont="1" applyFill="1" applyBorder="1" applyAlignment="1">
      <alignment horizontal="center" vertical="center" wrapText="1"/>
    </xf>
    <xf numFmtId="0" fontId="20" fillId="0" borderId="0" xfId="476" applyFont="1" applyFill="1" applyBorder="1" applyAlignment="1">
      <alignment horizontal="center" vertical="center" wrapText="1"/>
    </xf>
    <xf numFmtId="0" fontId="20" fillId="0" borderId="0" xfId="476" applyFont="1" applyFill="1" applyBorder="1" applyAlignment="1">
      <alignment horizontal="left" vertical="center"/>
    </xf>
    <xf numFmtId="0" fontId="20" fillId="0" borderId="59" xfId="375" applyFont="1" applyBorder="1" applyAlignment="1">
      <alignment horizontal="center" vertical="center" wrapText="1"/>
    </xf>
    <xf numFmtId="3" fontId="20" fillId="0" borderId="61" xfId="476" applyNumberFormat="1" applyFont="1" applyFill="1" applyBorder="1" applyAlignment="1">
      <alignment horizontal="center" vertical="center" wrapText="1"/>
    </xf>
    <xf numFmtId="0" fontId="20" fillId="56" borderId="59" xfId="479" applyNumberFormat="1" applyFont="1" applyFill="1" applyBorder="1" applyAlignment="1">
      <alignment horizontal="center" vertical="center" wrapText="1"/>
    </xf>
    <xf numFmtId="0" fontId="21" fillId="56" borderId="59" xfId="479" applyFont="1" applyFill="1" applyBorder="1" applyAlignment="1">
      <alignment horizontal="center" vertical="center" wrapText="1"/>
    </xf>
    <xf numFmtId="0" fontId="20" fillId="0" borderId="59" xfId="478" applyNumberFormat="1" applyFont="1" applyFill="1" applyBorder="1" applyAlignment="1">
      <alignment horizontal="center" vertical="center"/>
    </xf>
    <xf numFmtId="0" fontId="20" fillId="0" borderId="0" xfId="478" applyNumberFormat="1" applyFont="1" applyFill="1" applyBorder="1" applyAlignment="1">
      <alignment horizontal="center" vertical="center"/>
    </xf>
    <xf numFmtId="0" fontId="20" fillId="0" borderId="4" xfId="478" applyNumberFormat="1" applyFont="1" applyFill="1" applyBorder="1" applyAlignment="1">
      <alignment horizontal="center" vertical="center"/>
    </xf>
    <xf numFmtId="0" fontId="75" fillId="0" borderId="0" xfId="478" applyNumberFormat="1" applyFont="1" applyFill="1" applyBorder="1" applyAlignment="1">
      <alignment horizontal="center" vertical="center" wrapText="1"/>
    </xf>
    <xf numFmtId="0" fontId="75" fillId="0" borderId="4" xfId="478" applyNumberFormat="1" applyFont="1" applyFill="1" applyBorder="1" applyAlignment="1">
      <alignment horizontal="center" vertical="center" wrapText="1"/>
    </xf>
    <xf numFmtId="0" fontId="20" fillId="0" borderId="59" xfId="478" applyNumberFormat="1" applyFont="1" applyFill="1" applyBorder="1" applyAlignment="1">
      <alignment horizontal="center" vertical="center" wrapText="1"/>
    </xf>
    <xf numFmtId="0" fontId="20" fillId="0" borderId="0" xfId="478" applyNumberFormat="1" applyFont="1" applyFill="1" applyBorder="1" applyAlignment="1">
      <alignment horizontal="center" vertical="center" wrapText="1"/>
    </xf>
    <xf numFmtId="0" fontId="20" fillId="0" borderId="4" xfId="478" applyNumberFormat="1" applyFont="1" applyFill="1" applyBorder="1" applyAlignment="1">
      <alignment horizontal="center" vertical="center" wrapText="1"/>
    </xf>
    <xf numFmtId="0" fontId="75" fillId="0" borderId="59" xfId="478" applyNumberFormat="1" applyFont="1" applyFill="1" applyBorder="1" applyAlignment="1">
      <alignment horizontal="center" vertical="center" wrapText="1"/>
    </xf>
    <xf numFmtId="0" fontId="20" fillId="0" borderId="59" xfId="476" applyFont="1" applyFill="1" applyBorder="1" applyAlignment="1">
      <alignment horizontal="center" vertical="center"/>
    </xf>
    <xf numFmtId="0" fontId="20" fillId="0" borderId="0" xfId="476" applyFont="1" applyFill="1" applyBorder="1" applyAlignment="1">
      <alignment horizontal="center" vertical="center"/>
    </xf>
    <xf numFmtId="0" fontId="20" fillId="0" borderId="4" xfId="476" applyFont="1" applyFill="1" applyBorder="1" applyAlignment="1">
      <alignment horizontal="center" vertical="center"/>
    </xf>
    <xf numFmtId="0" fontId="76" fillId="0" borderId="61" xfId="478" applyFont="1" applyFill="1" applyBorder="1" applyAlignment="1">
      <alignment horizontal="left" vertical="center" wrapText="1"/>
    </xf>
    <xf numFmtId="0" fontId="20" fillId="0" borderId="59" xfId="236" applyNumberFormat="1" applyFont="1" applyFill="1" applyBorder="1" applyAlignment="1">
      <alignment horizontal="center" vertical="center"/>
    </xf>
    <xf numFmtId="0" fontId="20" fillId="0" borderId="0" xfId="236" applyNumberFormat="1" applyFont="1" applyFill="1" applyBorder="1" applyAlignment="1">
      <alignment horizontal="center" vertical="center"/>
    </xf>
    <xf numFmtId="0" fontId="20" fillId="0" borderId="4" xfId="236" applyNumberFormat="1" applyFont="1" applyFill="1" applyBorder="1" applyAlignment="1">
      <alignment horizontal="center" vertic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1" xfId="0" applyFont="1" applyFill="1" applyBorder="1" applyAlignment="1">
      <alignment horizontal="center"/>
    </xf>
    <xf numFmtId="0" fontId="10" fillId="0" borderId="0" xfId="0" applyFont="1" applyFill="1" applyBorder="1" applyAlignment="1">
      <alignment horizontal="center"/>
    </xf>
    <xf numFmtId="0" fontId="10" fillId="0" borderId="2" xfId="0" applyFont="1" applyFill="1" applyBorder="1" applyAlignment="1">
      <alignment horizontal="center"/>
    </xf>
    <xf numFmtId="0" fontId="10" fillId="0" borderId="7" xfId="0" applyFont="1" applyBorder="1" applyAlignment="1">
      <alignment horizontal="center"/>
    </xf>
    <xf numFmtId="0" fontId="10" fillId="0" borderId="59" xfId="0" applyFont="1" applyBorder="1" applyAlignment="1">
      <alignment horizontal="center"/>
    </xf>
    <xf numFmtId="0" fontId="10" fillId="0" borderId="32" xfId="0" applyFont="1" applyBorder="1" applyAlignment="1">
      <alignment horizontal="center"/>
    </xf>
    <xf numFmtId="0" fontId="0" fillId="0" borderId="0" xfId="0" applyFill="1" applyBorder="1" applyAlignment="1">
      <alignment horizontal="center" vertical="center"/>
    </xf>
    <xf numFmtId="0" fontId="76" fillId="0" borderId="0" xfId="0" applyFont="1" applyFill="1" applyAlignment="1">
      <alignment horizontal="center" vertical="center" wrapText="1"/>
    </xf>
    <xf numFmtId="0" fontId="15" fillId="0" borderId="0" xfId="0" applyFont="1" applyFill="1" applyAlignment="1">
      <alignment horizontal="center" vertic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center"/>
    </xf>
    <xf numFmtId="0" fontId="10" fillId="0" borderId="61" xfId="0" applyFont="1" applyBorder="1" applyAlignment="1">
      <alignment horizont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59" xfId="0" applyFont="1" applyBorder="1" applyAlignment="1">
      <alignment horizontal="center" vertical="center"/>
    </xf>
    <xf numFmtId="0" fontId="10" fillId="0" borderId="32" xfId="0" applyFont="1" applyBorder="1" applyAlignment="1">
      <alignment horizontal="center" vertical="center"/>
    </xf>
    <xf numFmtId="0" fontId="10" fillId="0" borderId="61" xfId="0" applyFont="1" applyBorder="1" applyAlignment="1">
      <alignment horizontal="center" vertical="center"/>
    </xf>
    <xf numFmtId="164" fontId="20" fillId="0" borderId="0" xfId="0" applyNumberFormat="1" applyFont="1" applyFill="1" applyBorder="1" applyAlignment="1">
      <alignment horizontal="center" vertical="center" wrapText="1"/>
    </xf>
    <xf numFmtId="164" fontId="20" fillId="0" borderId="40" xfId="0" applyNumberFormat="1" applyFont="1" applyFill="1" applyBorder="1" applyAlignment="1">
      <alignment horizontal="center" vertical="center" wrapText="1"/>
    </xf>
    <xf numFmtId="164" fontId="20" fillId="0" borderId="2" xfId="0" applyNumberFormat="1" applyFont="1" applyFill="1" applyBorder="1" applyAlignment="1">
      <alignment horizontal="center" vertical="center" wrapText="1"/>
    </xf>
    <xf numFmtId="164" fontId="20" fillId="0" borderId="41" xfId="0" applyNumberFormat="1" applyFont="1" applyFill="1" applyBorder="1" applyAlignment="1">
      <alignment horizontal="center" vertical="center" wrapText="1"/>
    </xf>
    <xf numFmtId="164" fontId="20" fillId="57" borderId="34" xfId="0" applyNumberFormat="1" applyFont="1" applyFill="1" applyBorder="1" applyAlignment="1">
      <alignment horizontal="center" vertical="center"/>
    </xf>
    <xf numFmtId="0" fontId="20" fillId="57" borderId="53" xfId="0" applyFont="1" applyFill="1" applyBorder="1" applyAlignment="1">
      <alignment horizontal="center" vertical="center"/>
    </xf>
    <xf numFmtId="0" fontId="20" fillId="57" borderId="34" xfId="0" applyFont="1" applyFill="1" applyBorder="1" applyAlignment="1">
      <alignment horizontal="center" vertical="center"/>
    </xf>
    <xf numFmtId="0" fontId="20" fillId="57" borderId="52" xfId="0" applyFont="1" applyFill="1" applyBorder="1" applyAlignment="1">
      <alignment horizontal="center" vertical="center"/>
    </xf>
    <xf numFmtId="11" fontId="10" fillId="0" borderId="0" xfId="0" applyNumberFormat="1" applyFont="1" applyFill="1" applyBorder="1" applyAlignment="1">
      <alignment horizontal="center" vertical="center"/>
    </xf>
    <xf numFmtId="11" fontId="10" fillId="0" borderId="4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0" borderId="40" xfId="0" applyNumberFormat="1" applyFont="1" applyFill="1" applyBorder="1" applyAlignment="1">
      <alignment horizontal="center" vertical="center"/>
    </xf>
    <xf numFmtId="164" fontId="10" fillId="0" borderId="7" xfId="0" applyNumberFormat="1" applyFont="1" applyFill="1" applyBorder="1" applyAlignment="1">
      <alignment horizontal="center" vertical="center" wrapText="1"/>
    </xf>
    <xf numFmtId="164" fontId="10" fillId="0" borderId="39"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4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40" xfId="0" applyFont="1" applyFill="1" applyBorder="1" applyAlignment="1">
      <alignment horizontal="center" vertical="center"/>
    </xf>
    <xf numFmtId="164" fontId="10" fillId="0" borderId="0" xfId="0" applyNumberFormat="1" applyFont="1" applyFill="1" applyBorder="1" applyAlignment="1">
      <alignment horizontal="center" vertical="center" wrapText="1"/>
    </xf>
    <xf numFmtId="164" fontId="10" fillId="0" borderId="40" xfId="0" applyNumberFormat="1" applyFont="1" applyFill="1" applyBorder="1" applyAlignment="1">
      <alignment horizontal="center" vertical="center" wrapText="1"/>
    </xf>
    <xf numFmtId="0" fontId="20" fillId="0" borderId="0" xfId="0" applyFont="1" applyFill="1" applyAlignment="1">
      <alignment horizontal="left"/>
    </xf>
    <xf numFmtId="0" fontId="0" fillId="0" borderId="61" xfId="0" applyFill="1" applyBorder="1" applyAlignment="1">
      <alignment horizontal="left"/>
    </xf>
    <xf numFmtId="0" fontId="0" fillId="0" borderId="0" xfId="0" applyFill="1" applyAlignment="1">
      <alignment horizontal="left"/>
    </xf>
    <xf numFmtId="0" fontId="22" fillId="0" borderId="0" xfId="0" applyFont="1" applyFill="1" applyAlignment="1">
      <alignment horizontal="center" vertical="center" wrapText="1"/>
    </xf>
    <xf numFmtId="0" fontId="20" fillId="0" borderId="5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1" fillId="0" borderId="0" xfId="0" applyFont="1" applyFill="1" applyAlignment="1">
      <alignment horizontal="left"/>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11" fontId="21" fillId="0" borderId="0" xfId="0" applyNumberFormat="1" applyFont="1" applyFill="1" applyBorder="1" applyAlignment="1">
      <alignment horizontal="center" vertical="center" wrapText="1"/>
    </xf>
    <xf numFmtId="11" fontId="21" fillId="0" borderId="4" xfId="0" applyNumberFormat="1" applyFont="1" applyFill="1" applyBorder="1" applyAlignment="1">
      <alignment horizontal="center" vertical="center" wrapText="1"/>
    </xf>
    <xf numFmtId="0" fontId="20" fillId="56" borderId="60" xfId="0" applyFont="1" applyFill="1" applyBorder="1" applyAlignment="1">
      <alignment horizontal="center" vertical="center" wrapText="1"/>
    </xf>
    <xf numFmtId="0" fontId="20" fillId="56"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7" xfId="0" applyFont="1" applyFill="1" applyBorder="1" applyAlignment="1">
      <alignment horizontal="center" vertical="center" wrapText="1"/>
    </xf>
    <xf numFmtId="164" fontId="21" fillId="0" borderId="59" xfId="0" applyNumberFormat="1" applyFont="1" applyFill="1" applyBorder="1" applyAlignment="1">
      <alignment horizontal="center" vertical="center" wrapText="1"/>
    </xf>
    <xf numFmtId="11" fontId="21" fillId="0" borderId="59"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164" fontId="22" fillId="0" borderId="4" xfId="0" applyNumberFormat="1" applyFont="1" applyFill="1" applyBorder="1" applyAlignment="1">
      <alignment horizontal="center" vertical="center" wrapText="1"/>
    </xf>
    <xf numFmtId="11" fontId="22" fillId="0" borderId="0" xfId="0" applyNumberFormat="1" applyFont="1" applyFill="1" applyBorder="1" applyAlignment="1">
      <alignment horizontal="center" vertical="center" wrapText="1"/>
    </xf>
    <xf numFmtId="11" fontId="22" fillId="0" borderId="4" xfId="0" applyNumberFormat="1" applyFont="1" applyFill="1" applyBorder="1" applyAlignment="1">
      <alignment horizontal="center" vertical="center" wrapText="1"/>
    </xf>
    <xf numFmtId="0" fontId="22" fillId="0" borderId="59" xfId="0" applyFont="1" applyFill="1" applyBorder="1" applyAlignment="1">
      <alignment horizontal="center" vertical="center" wrapText="1"/>
    </xf>
    <xf numFmtId="0" fontId="85" fillId="0" borderId="0" xfId="0" applyFont="1" applyBorder="1" applyAlignment="1">
      <alignment horizontal="left" vertical="center" wrapText="1"/>
    </xf>
    <xf numFmtId="2" fontId="20" fillId="0" borderId="59" xfId="0" applyNumberFormat="1" applyFont="1" applyBorder="1" applyAlignment="1">
      <alignment horizontal="center" wrapText="1"/>
    </xf>
    <xf numFmtId="2" fontId="20" fillId="0" borderId="36" xfId="0" applyNumberFormat="1" applyFont="1" applyBorder="1" applyAlignment="1">
      <alignment horizontal="center" wrapText="1"/>
    </xf>
    <xf numFmtId="2" fontId="20" fillId="56" borderId="60" xfId="0" applyNumberFormat="1" applyFont="1" applyFill="1" applyBorder="1" applyAlignment="1">
      <alignment horizontal="center" wrapText="1"/>
    </xf>
    <xf numFmtId="2" fontId="20" fillId="56" borderId="12" xfId="0" applyNumberFormat="1" applyFont="1" applyFill="1" applyBorder="1" applyAlignment="1">
      <alignment horizontal="center" wrapText="1"/>
    </xf>
    <xf numFmtId="2" fontId="20" fillId="56" borderId="11" xfId="0" applyNumberFormat="1" applyFont="1" applyFill="1" applyBorder="1" applyAlignment="1">
      <alignment horizontal="center" wrapText="1"/>
    </xf>
    <xf numFmtId="0" fontId="15" fillId="0" borderId="60" xfId="0" applyFont="1" applyBorder="1" applyAlignment="1">
      <alignment horizontal="center" vertical="center"/>
    </xf>
    <xf numFmtId="0" fontId="83" fillId="0" borderId="7" xfId="0" applyFont="1" applyBorder="1" applyAlignment="1">
      <alignment horizontal="center" wrapText="1"/>
    </xf>
    <xf numFmtId="0" fontId="83" fillId="0" borderId="39" xfId="0" applyFont="1" applyBorder="1" applyAlignment="1">
      <alignment horizontal="center" wrapText="1"/>
    </xf>
    <xf numFmtId="0" fontId="83" fillId="0" borderId="59" xfId="0" applyFont="1" applyBorder="1" applyAlignment="1">
      <alignment horizontal="center" wrapText="1"/>
    </xf>
    <xf numFmtId="0" fontId="83" fillId="0" borderId="40" xfId="0" applyFont="1" applyBorder="1" applyAlignment="1">
      <alignment horizontal="center" wrapText="1"/>
    </xf>
    <xf numFmtId="0" fontId="20" fillId="0" borderId="59" xfId="0" applyFont="1" applyBorder="1" applyAlignment="1">
      <alignment horizontal="center" wrapText="1"/>
    </xf>
    <xf numFmtId="0" fontId="20" fillId="0" borderId="36" xfId="0" applyFont="1" applyBorder="1" applyAlignment="1">
      <alignment horizontal="center" wrapText="1"/>
    </xf>
    <xf numFmtId="0" fontId="15" fillId="0" borderId="4" xfId="0" applyFont="1" applyBorder="1" applyAlignment="1">
      <alignment horizontal="center" vertical="center"/>
    </xf>
    <xf numFmtId="0" fontId="22" fillId="0" borderId="60" xfId="0" applyFont="1" applyFill="1" applyBorder="1" applyAlignment="1">
      <alignment horizontal="center" vertical="center"/>
    </xf>
    <xf numFmtId="0" fontId="74" fillId="0" borderId="51" xfId="0" applyFont="1" applyBorder="1" applyAlignment="1">
      <alignment horizontal="center" wrapText="1"/>
    </xf>
    <xf numFmtId="0" fontId="74" fillId="0" borderId="50" xfId="0" applyFont="1" applyBorder="1" applyAlignment="1">
      <alignment horizontal="center" wrapText="1"/>
    </xf>
    <xf numFmtId="0" fontId="20" fillId="0" borderId="59" xfId="0" applyFont="1" applyFill="1" applyBorder="1" applyAlignment="1">
      <alignment horizontal="center" wrapText="1"/>
    </xf>
    <xf numFmtId="0" fontId="20" fillId="0" borderId="40" xfId="0" applyFont="1" applyFill="1" applyBorder="1" applyAlignment="1">
      <alignment horizontal="center" wrapText="1"/>
    </xf>
    <xf numFmtId="0" fontId="84" fillId="0" borderId="59" xfId="0" applyFont="1" applyBorder="1" applyAlignment="1">
      <alignment horizontal="center" wrapText="1"/>
    </xf>
    <xf numFmtId="0" fontId="84" fillId="0" borderId="40" xfId="0" applyFont="1" applyBorder="1" applyAlignment="1">
      <alignment horizontal="center" wrapText="1"/>
    </xf>
    <xf numFmtId="0" fontId="20" fillId="0" borderId="60" xfId="0" applyFont="1" applyFill="1" applyBorder="1" applyAlignment="1">
      <alignment horizontal="center" wrapText="1"/>
    </xf>
    <xf numFmtId="0" fontId="20" fillId="56" borderId="60" xfId="0" applyFont="1" applyFill="1" applyBorder="1" applyAlignment="1">
      <alignment horizontal="center" wrapText="1"/>
    </xf>
    <xf numFmtId="0" fontId="10" fillId="0" borderId="0" xfId="0" applyFont="1" applyBorder="1" applyAlignment="1">
      <alignment horizontal="left" vertical="center" wrapText="1"/>
    </xf>
    <xf numFmtId="0" fontId="10" fillId="0" borderId="3" xfId="0" applyFont="1" applyBorder="1" applyAlignment="1">
      <alignment horizontal="center"/>
    </xf>
    <xf numFmtId="0" fontId="0" fillId="0" borderId="0" xfId="0" applyAlignment="1">
      <alignment horizontal="left"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10" fillId="0" borderId="59" xfId="0" applyFont="1" applyBorder="1" applyAlignment="1">
      <alignment horizontal="center" vertical="center" wrapText="1"/>
    </xf>
    <xf numFmtId="0" fontId="10" fillId="0" borderId="0" xfId="0" applyFont="1" applyBorder="1" applyAlignment="1">
      <alignment horizontal="center" vertical="center" wrapText="1"/>
    </xf>
    <xf numFmtId="0" fontId="21" fillId="0" borderId="0" xfId="0" applyFont="1" applyBorder="1" applyAlignment="1">
      <alignment horizontal="left" vertical="center" wrapText="1"/>
    </xf>
    <xf numFmtId="0" fontId="38" fillId="58" borderId="0" xfId="0" applyFont="1" applyFill="1" applyBorder="1" applyAlignment="1">
      <alignment horizontal="center" vertical="center"/>
    </xf>
    <xf numFmtId="0" fontId="10" fillId="0" borderId="1" xfId="0" applyFont="1" applyBorder="1" applyAlignment="1">
      <alignment horizontal="center" vertical="center" wrapText="1"/>
    </xf>
    <xf numFmtId="0" fontId="1" fillId="0" borderId="0" xfId="475" applyFont="1" applyBorder="1" applyAlignment="1">
      <alignment horizontal="left" vertical="top"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1" xfId="499" applyFont="1" applyBorder="1" applyAlignment="1">
      <alignment horizontal="center"/>
    </xf>
    <xf numFmtId="0" fontId="10" fillId="0" borderId="40" xfId="0" applyFont="1" applyBorder="1" applyAlignment="1">
      <alignment horizontal="center" vertical="center"/>
    </xf>
    <xf numFmtId="0" fontId="10" fillId="0" borderId="61" xfId="0" applyFont="1" applyFill="1" applyBorder="1" applyAlignment="1">
      <alignment horizontal="center" vertical="center" wrapText="1"/>
    </xf>
    <xf numFmtId="164" fontId="10" fillId="0" borderId="63" xfId="0" applyNumberFormat="1" applyFont="1" applyBorder="1" applyAlignment="1">
      <alignment horizontal="center" vertical="center"/>
    </xf>
    <xf numFmtId="164" fontId="10" fillId="0" borderId="41" xfId="0" applyNumberFormat="1" applyFont="1" applyBorder="1" applyAlignment="1">
      <alignment horizontal="center" vertical="center"/>
    </xf>
    <xf numFmtId="0" fontId="10" fillId="0" borderId="61" xfId="0" applyFont="1" applyBorder="1" applyAlignment="1">
      <alignment horizontal="center" vertical="center" wrapText="1"/>
    </xf>
    <xf numFmtId="0" fontId="10" fillId="0" borderId="40" xfId="0" applyFont="1" applyBorder="1" applyAlignment="1">
      <alignment horizontal="center" vertical="center" wrapText="1"/>
    </xf>
    <xf numFmtId="0" fontId="17" fillId="0" borderId="61" xfId="485" applyFont="1" applyFill="1" applyBorder="1" applyAlignment="1">
      <alignment horizontal="left" wrapText="1"/>
    </xf>
    <xf numFmtId="0" fontId="10" fillId="0" borderId="62" xfId="484" applyFont="1" applyBorder="1" applyAlignment="1">
      <alignment horizontal="center" vertical="center"/>
    </xf>
    <xf numFmtId="0" fontId="10" fillId="0" borderId="61" xfId="484" applyFont="1" applyBorder="1" applyAlignment="1">
      <alignment horizontal="center" vertical="center"/>
    </xf>
    <xf numFmtId="0" fontId="10" fillId="0" borderId="63" xfId="484" applyFont="1" applyBorder="1" applyAlignment="1">
      <alignment horizontal="center" vertical="center"/>
    </xf>
    <xf numFmtId="0" fontId="10" fillId="0" borderId="61" xfId="485" applyFont="1" applyBorder="1" applyAlignment="1">
      <alignment horizontal="center"/>
    </xf>
    <xf numFmtId="0" fontId="10" fillId="0" borderId="40" xfId="485" applyFont="1" applyBorder="1" applyAlignment="1">
      <alignment horizontal="center"/>
    </xf>
    <xf numFmtId="0" fontId="10" fillId="0" borderId="61" xfId="485" applyFont="1" applyBorder="1" applyAlignment="1">
      <alignment horizontal="center" wrapText="1"/>
    </xf>
    <xf numFmtId="0" fontId="10" fillId="0" borderId="40" xfId="485" applyFont="1" applyBorder="1" applyAlignment="1">
      <alignment horizontal="center" wrapText="1"/>
    </xf>
    <xf numFmtId="0" fontId="10" fillId="0" borderId="61" xfId="485" applyFont="1" applyFill="1" applyBorder="1" applyAlignment="1">
      <alignment horizontal="center" wrapText="1"/>
    </xf>
    <xf numFmtId="0" fontId="16" fillId="0" borderId="61" xfId="485" applyFont="1" applyBorder="1" applyAlignment="1">
      <alignment horizontal="center" wrapText="1"/>
    </xf>
    <xf numFmtId="0" fontId="16" fillId="0" borderId="40" xfId="485" applyFont="1" applyBorder="1" applyAlignment="1">
      <alignment horizontal="center" wrapText="1"/>
    </xf>
    <xf numFmtId="0" fontId="10" fillId="0" borderId="4" xfId="484" applyFont="1" applyBorder="1" applyAlignment="1">
      <alignment horizontal="left" vertical="center" wrapText="1"/>
    </xf>
    <xf numFmtId="0" fontId="21" fillId="0" borderId="0" xfId="485" applyFont="1" applyAlignment="1">
      <alignment horizontal="left" vertical="center" wrapText="1"/>
    </xf>
    <xf numFmtId="0" fontId="10" fillId="0" borderId="62" xfId="484" applyFont="1" applyBorder="1" applyAlignment="1">
      <alignment horizontal="center" vertical="center" wrapText="1"/>
    </xf>
    <xf numFmtId="0" fontId="10" fillId="0" borderId="61" xfId="484" applyFont="1" applyBorder="1" applyAlignment="1">
      <alignment horizontal="center" vertical="center" wrapText="1"/>
    </xf>
    <xf numFmtId="0" fontId="10" fillId="0" borderId="63" xfId="484" applyFont="1" applyBorder="1" applyAlignment="1">
      <alignment horizontal="center" vertical="center" wrapText="1"/>
    </xf>
    <xf numFmtId="0" fontId="20" fillId="0" borderId="4" xfId="0" applyFont="1" applyBorder="1" applyAlignment="1">
      <alignment horizontal="left"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15" fillId="0" borderId="4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61" xfId="0" applyBorder="1" applyAlignment="1">
      <alignment horizontal="center" vertical="center" wrapText="1"/>
    </xf>
    <xf numFmtId="0" fontId="15" fillId="0" borderId="6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164" fontId="17" fillId="0" borderId="61" xfId="0" applyNumberFormat="1" applyFont="1" applyFill="1" applyBorder="1" applyAlignment="1">
      <alignment horizontal="center" vertical="center"/>
    </xf>
    <xf numFmtId="164" fontId="17" fillId="0" borderId="0" xfId="0" applyNumberFormat="1" applyFont="1" applyFill="1" applyAlignment="1">
      <alignment horizontal="center" vertical="center"/>
    </xf>
    <xf numFmtId="164" fontId="17" fillId="0" borderId="4" xfId="0" applyNumberFormat="1" applyFont="1" applyFill="1" applyBorder="1" applyAlignment="1">
      <alignment horizontal="center" vertical="center"/>
    </xf>
    <xf numFmtId="0" fontId="38" fillId="60" borderId="0" xfId="0" applyFont="1" applyFill="1" applyAlignment="1">
      <alignment horizontal="center"/>
    </xf>
    <xf numFmtId="0" fontId="10" fillId="0" borderId="0" xfId="0" applyFont="1" applyAlignment="1">
      <alignment horizontal="center"/>
    </xf>
    <xf numFmtId="0" fontId="63" fillId="0" borderId="59" xfId="0" applyFont="1" applyBorder="1" applyAlignment="1">
      <alignment horizontal="left" wrapText="1"/>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61" xfId="0" applyFont="1" applyBorder="1" applyAlignment="1">
      <alignment horizontal="center" vertical="center"/>
    </xf>
    <xf numFmtId="1" fontId="0" fillId="0" borderId="61" xfId="0" applyNumberFormat="1" applyFont="1" applyBorder="1" applyAlignment="1">
      <alignment horizontal="center"/>
    </xf>
    <xf numFmtId="1" fontId="0" fillId="0" borderId="0" xfId="0" applyNumberFormat="1" applyFont="1" applyBorder="1" applyAlignment="1">
      <alignment horizontal="center"/>
    </xf>
    <xf numFmtId="1" fontId="0" fillId="0" borderId="4" xfId="0" applyNumberFormat="1" applyFont="1" applyBorder="1" applyAlignment="1">
      <alignment horizontal="center"/>
    </xf>
    <xf numFmtId="11" fontId="0" fillId="0" borderId="0" xfId="0" applyNumberFormat="1" applyFont="1" applyBorder="1" applyAlignment="1">
      <alignment horizontal="center"/>
    </xf>
    <xf numFmtId="11" fontId="0" fillId="0" borderId="4" xfId="0" applyNumberFormat="1" applyFont="1" applyBorder="1" applyAlignment="1">
      <alignment horizontal="center"/>
    </xf>
    <xf numFmtId="164" fontId="0" fillId="0" borderId="0" xfId="0" applyNumberFormat="1" applyFont="1" applyBorder="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44" xfId="0" applyFont="1" applyBorder="1" applyAlignment="1">
      <alignment horizontal="center" vertical="center"/>
    </xf>
    <xf numFmtId="1" fontId="0" fillId="0" borderId="44" xfId="0" applyNumberFormat="1" applyFont="1" applyBorder="1" applyAlignment="1">
      <alignment horizontal="center"/>
    </xf>
    <xf numFmtId="164" fontId="0" fillId="0" borderId="4" xfId="0" applyNumberFormat="1" applyFont="1" applyBorder="1" applyAlignment="1">
      <alignment horizontal="center"/>
    </xf>
    <xf numFmtId="1" fontId="10" fillId="0" borderId="7" xfId="0" applyNumberFormat="1" applyFont="1" applyBorder="1" applyAlignment="1">
      <alignment horizontal="center" vertical="center" wrapText="1"/>
    </xf>
    <xf numFmtId="1" fontId="10" fillId="0" borderId="59" xfId="0" applyNumberFormat="1" applyFont="1" applyBorder="1" applyAlignment="1">
      <alignment horizontal="center" vertical="center" wrapText="1"/>
    </xf>
    <xf numFmtId="11" fontId="10" fillId="56" borderId="32" xfId="0" applyNumberFormat="1" applyFont="1" applyFill="1" applyBorder="1" applyAlignment="1">
      <alignment horizontal="center" vertical="center" wrapText="1"/>
    </xf>
    <xf numFmtId="11" fontId="10" fillId="56" borderId="41" xfId="0" applyNumberFormat="1" applyFont="1" applyFill="1" applyBorder="1" applyAlignment="1">
      <alignment horizontal="center" vertical="center" wrapText="1"/>
    </xf>
    <xf numFmtId="0" fontId="10" fillId="56" borderId="7" xfId="0" applyFont="1" applyFill="1" applyBorder="1" applyAlignment="1">
      <alignment horizontal="center" vertical="center" wrapText="1"/>
    </xf>
    <xf numFmtId="0" fontId="10" fillId="56" borderId="39" xfId="0" applyFont="1" applyFill="1" applyBorder="1" applyAlignment="1">
      <alignment horizontal="center" vertical="center" wrapText="1"/>
    </xf>
    <xf numFmtId="0" fontId="0" fillId="0" borderId="59"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5" fillId="0" borderId="59" xfId="0" applyFont="1" applyBorder="1" applyAlignment="1">
      <alignment horizontal="center" vertical="center"/>
    </xf>
    <xf numFmtId="0" fontId="15" fillId="0" borderId="0" xfId="0" applyFont="1" applyBorder="1" applyAlignment="1">
      <alignment horizontal="center" vertical="center"/>
    </xf>
    <xf numFmtId="164" fontId="0" fillId="0" borderId="59" xfId="0" applyNumberFormat="1" applyFont="1" applyBorder="1" applyAlignment="1">
      <alignment horizontal="center"/>
    </xf>
    <xf numFmtId="11" fontId="0" fillId="0" borderId="59" xfId="0" applyNumberFormat="1" applyFont="1" applyBorder="1" applyAlignment="1">
      <alignment horizontal="center"/>
    </xf>
    <xf numFmtId="164" fontId="0" fillId="0" borderId="44" xfId="0" applyNumberFormat="1" applyFont="1" applyBorder="1" applyAlignment="1">
      <alignment horizontal="center"/>
    </xf>
    <xf numFmtId="11" fontId="0" fillId="0" borderId="56" xfId="0" applyNumberFormat="1" applyFont="1" applyBorder="1" applyAlignment="1">
      <alignment horizontal="center" vertical="center"/>
    </xf>
    <xf numFmtId="11" fontId="0" fillId="0" borderId="46" xfId="0" applyNumberFormat="1" applyFont="1" applyBorder="1" applyAlignment="1">
      <alignment horizontal="center" vertical="center"/>
    </xf>
    <xf numFmtId="11" fontId="0" fillId="0" borderId="32" xfId="0" applyNumberFormat="1" applyFont="1" applyBorder="1" applyAlignment="1">
      <alignment horizontal="center" vertical="center"/>
    </xf>
    <xf numFmtId="11" fontId="0" fillId="0" borderId="5" xfId="0" applyNumberFormat="1" applyFont="1" applyBorder="1" applyAlignment="1">
      <alignment horizontal="center" vertical="center"/>
    </xf>
    <xf numFmtId="11" fontId="0" fillId="0" borderId="37" xfId="0" applyNumberFormat="1" applyFont="1" applyBorder="1" applyAlignment="1">
      <alignment horizontal="center" vertical="center"/>
    </xf>
    <xf numFmtId="0" fontId="0" fillId="0" borderId="0" xfId="0" applyFont="1" applyAlignment="1">
      <alignment horizontal="left"/>
    </xf>
    <xf numFmtId="0" fontId="0" fillId="0" borderId="0" xfId="0" applyFill="1" applyAlignment="1">
      <alignment horizontal="left" wrapText="1"/>
    </xf>
    <xf numFmtId="11" fontId="10" fillId="0" borderId="56" xfId="0" applyNumberFormat="1" applyFont="1" applyBorder="1" applyAlignment="1">
      <alignment horizontal="center" vertical="center"/>
    </xf>
    <xf numFmtId="11" fontId="10" fillId="0" borderId="46" xfId="0" applyNumberFormat="1" applyFont="1" applyBorder="1" applyAlignment="1">
      <alignment horizontal="center" vertical="center"/>
    </xf>
    <xf numFmtId="11" fontId="10" fillId="0" borderId="32" xfId="0" applyNumberFormat="1" applyFont="1" applyBorder="1" applyAlignment="1">
      <alignment horizontal="center" vertical="center"/>
    </xf>
    <xf numFmtId="0" fontId="65" fillId="56" borderId="0" xfId="0" applyFont="1" applyFill="1" applyBorder="1" applyAlignment="1">
      <alignment horizontal="center"/>
    </xf>
    <xf numFmtId="0" fontId="65" fillId="0" borderId="0" xfId="0" applyFont="1" applyFill="1" applyBorder="1" applyAlignment="1">
      <alignment horizontal="left" vertical="center" wrapText="1"/>
    </xf>
    <xf numFmtId="0" fontId="64" fillId="0" borderId="0" xfId="0" applyFont="1" applyAlignment="1">
      <alignment horizontal="left" wrapText="1"/>
    </xf>
    <xf numFmtId="0" fontId="10" fillId="0" borderId="7" xfId="486" applyFont="1" applyBorder="1" applyAlignment="1">
      <alignment horizontal="center"/>
    </xf>
    <xf numFmtId="0" fontId="10" fillId="0" borderId="32" xfId="486" applyFont="1" applyBorder="1" applyAlignment="1">
      <alignment horizontal="center"/>
    </xf>
    <xf numFmtId="0" fontId="10" fillId="0" borderId="3" xfId="486" applyFont="1" applyBorder="1" applyAlignment="1">
      <alignment horizontal="center"/>
    </xf>
    <xf numFmtId="0" fontId="10" fillId="0" borderId="5" xfId="486" applyFont="1" applyBorder="1" applyAlignment="1">
      <alignment horizontal="center"/>
    </xf>
    <xf numFmtId="0" fontId="10" fillId="0" borderId="3" xfId="486" applyFont="1" applyBorder="1" applyAlignment="1">
      <alignment horizontal="center" wrapText="1"/>
    </xf>
    <xf numFmtId="0" fontId="10" fillId="0" borderId="5" xfId="486" applyFont="1" applyBorder="1" applyAlignment="1">
      <alignment horizontal="center" wrapText="1"/>
    </xf>
    <xf numFmtId="0" fontId="10" fillId="0" borderId="7" xfId="486" applyFont="1" applyBorder="1" applyAlignment="1">
      <alignment horizontal="center" vertical="center"/>
    </xf>
    <xf numFmtId="0" fontId="10" fillId="0" borderId="59" xfId="486" applyFont="1" applyBorder="1" applyAlignment="1">
      <alignment horizontal="center" vertical="center"/>
    </xf>
    <xf numFmtId="0" fontId="10" fillId="0" borderId="3" xfId="486" applyFont="1" applyBorder="1" applyAlignment="1">
      <alignment horizontal="center" vertical="center"/>
    </xf>
    <xf numFmtId="0" fontId="10" fillId="0" borderId="4" xfId="486" applyFont="1" applyBorder="1" applyAlignment="1">
      <alignment horizontal="center" vertical="center"/>
    </xf>
    <xf numFmtId="0" fontId="10" fillId="0" borderId="32" xfId="486" applyFont="1" applyBorder="1" applyAlignment="1">
      <alignment horizontal="center" vertical="center"/>
    </xf>
    <xf numFmtId="0" fontId="10" fillId="0" borderId="5" xfId="486" applyFont="1" applyBorder="1" applyAlignment="1">
      <alignment horizontal="center" vertical="center"/>
    </xf>
    <xf numFmtId="0" fontId="10" fillId="0" borderId="7" xfId="486" applyFont="1" applyBorder="1" applyAlignment="1">
      <alignment horizontal="center" wrapText="1"/>
    </xf>
    <xf numFmtId="0" fontId="10" fillId="0" borderId="32" xfId="486" applyFont="1" applyBorder="1" applyAlignment="1">
      <alignment horizontal="center" wrapText="1"/>
    </xf>
    <xf numFmtId="0" fontId="10" fillId="0" borderId="7" xfId="486" applyFont="1" applyBorder="1" applyAlignment="1">
      <alignment horizontal="center" vertical="center" wrapText="1"/>
    </xf>
    <xf numFmtId="0" fontId="10" fillId="0" borderId="32" xfId="486" applyFont="1" applyBorder="1" applyAlignment="1">
      <alignment horizontal="center" vertical="center" wrapText="1"/>
    </xf>
    <xf numFmtId="0" fontId="10" fillId="0" borderId="3" xfId="486" applyFont="1" applyBorder="1" applyAlignment="1">
      <alignment horizontal="center" vertical="center" wrapText="1"/>
    </xf>
    <xf numFmtId="0" fontId="10" fillId="0" borderId="5" xfId="486" applyFont="1" applyBorder="1" applyAlignment="1">
      <alignment horizontal="center" vertical="center" wrapText="1"/>
    </xf>
    <xf numFmtId="0" fontId="20" fillId="0" borderId="59"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9" xfId="0" applyFont="1" applyFill="1" applyBorder="1" applyAlignment="1">
      <alignment horizontal="left" vertical="center"/>
    </xf>
    <xf numFmtId="0" fontId="20" fillId="0" borderId="4" xfId="0" applyFont="1" applyFill="1" applyBorder="1" applyAlignment="1">
      <alignment horizontal="left" vertical="center"/>
    </xf>
    <xf numFmtId="0" fontId="10" fillId="0" borderId="60" xfId="2" applyFont="1" applyBorder="1" applyAlignment="1">
      <alignment horizontal="center" vertical="center" wrapText="1"/>
    </xf>
    <xf numFmtId="0" fontId="10" fillId="0" borderId="59"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4" xfId="2" applyFont="1" applyBorder="1" applyAlignment="1">
      <alignment horizontal="left" vertical="center" wrapText="1"/>
    </xf>
    <xf numFmtId="0" fontId="66" fillId="0" borderId="31" xfId="331" applyNumberFormat="1" applyFont="1" applyFill="1" applyBorder="1" applyAlignment="1" applyProtection="1">
      <alignment horizontal="left" vertical="top" wrapText="1"/>
    </xf>
    <xf numFmtId="0" fontId="66" fillId="0" borderId="31" xfId="482" applyFont="1" applyFill="1" applyBorder="1" applyAlignment="1">
      <alignment horizontal="left" vertical="top"/>
    </xf>
    <xf numFmtId="0" fontId="74" fillId="56" borderId="0" xfId="331" applyFont="1" applyFill="1" applyAlignment="1">
      <alignment horizontal="left" vertical="top"/>
    </xf>
    <xf numFmtId="0" fontId="66" fillId="0" borderId="31" xfId="476" applyFont="1" applyFill="1" applyBorder="1" applyAlignment="1">
      <alignment horizontal="left" vertical="top"/>
    </xf>
    <xf numFmtId="0" fontId="66" fillId="0" borderId="31" xfId="331" applyFont="1" applyFill="1" applyBorder="1" applyAlignment="1">
      <alignment horizontal="left" vertical="top" wrapText="1"/>
    </xf>
    <xf numFmtId="0" fontId="66" fillId="0" borderId="31" xfId="476" applyFont="1" applyFill="1" applyBorder="1" applyAlignment="1">
      <alignment horizontal="left" vertical="top" wrapText="1"/>
    </xf>
    <xf numFmtId="0" fontId="66" fillId="0" borderId="31" xfId="331" applyFont="1" applyFill="1" applyBorder="1" applyAlignment="1">
      <alignment horizontal="left" vertical="top"/>
    </xf>
    <xf numFmtId="0" fontId="74" fillId="56" borderId="0" xfId="331" applyFont="1" applyFill="1" applyAlignment="1">
      <alignment horizontal="left" vertical="center" wrapText="1"/>
    </xf>
    <xf numFmtId="2" fontId="0" fillId="0" borderId="4" xfId="0" applyNumberFormat="1" applyFont="1" applyBorder="1" applyAlignment="1">
      <alignment horizontal="center" vertical="center"/>
    </xf>
    <xf numFmtId="164" fontId="0" fillId="0" borderId="4" xfId="0" applyNumberFormat="1" applyFont="1" applyBorder="1" applyAlignment="1">
      <alignment horizontal="center" vertical="center"/>
    </xf>
    <xf numFmtId="11" fontId="0" fillId="0" borderId="4" xfId="0" applyNumberFormat="1" applyFont="1" applyBorder="1" applyAlignment="1">
      <alignment horizontal="center" vertical="center"/>
    </xf>
    <xf numFmtId="0" fontId="0" fillId="0" borderId="3" xfId="0" applyFont="1" applyBorder="1" applyAlignment="1">
      <alignment horizontal="center" vertical="center"/>
    </xf>
    <xf numFmtId="164" fontId="0" fillId="0" borderId="3" xfId="0" applyNumberFormat="1" applyFont="1" applyBorder="1" applyAlignment="1">
      <alignment horizontal="center" vertical="center"/>
    </xf>
    <xf numFmtId="0" fontId="0" fillId="0" borderId="60" xfId="0" applyFont="1" applyBorder="1" applyAlignment="1">
      <alignment horizontal="center" vertical="center"/>
    </xf>
    <xf numFmtId="2" fontId="0" fillId="0" borderId="60" xfId="0" applyNumberFormat="1" applyFont="1" applyBorder="1" applyAlignment="1">
      <alignment horizontal="center" vertical="center"/>
    </xf>
    <xf numFmtId="164" fontId="0" fillId="0" borderId="60" xfId="0" applyNumberFormat="1" applyFont="1" applyBorder="1" applyAlignment="1">
      <alignment horizontal="center" vertical="center"/>
    </xf>
    <xf numFmtId="11" fontId="0" fillId="0" borderId="60" xfId="0" applyNumberFormat="1" applyFont="1" applyBorder="1" applyAlignment="1">
      <alignment horizontal="center" vertical="center"/>
    </xf>
    <xf numFmtId="11" fontId="0" fillId="0" borderId="12" xfId="0" applyNumberFormat="1" applyFont="1" applyBorder="1" applyAlignment="1">
      <alignment horizontal="center" vertical="center"/>
    </xf>
    <xf numFmtId="0" fontId="0" fillId="0" borderId="11" xfId="0" applyFont="1" applyBorder="1" applyAlignment="1">
      <alignment horizontal="center" vertical="center"/>
    </xf>
    <xf numFmtId="164" fontId="0" fillId="0" borderId="11"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2" fontId="0" fillId="0" borderId="59" xfId="0" applyNumberFormat="1" applyFont="1" applyBorder="1" applyAlignment="1">
      <alignment horizontal="center" vertical="center"/>
    </xf>
    <xf numFmtId="164" fontId="0" fillId="0" borderId="59" xfId="0" applyNumberFormat="1" applyFont="1" applyBorder="1" applyAlignment="1">
      <alignment horizontal="center" vertical="center"/>
    </xf>
    <xf numFmtId="11" fontId="0" fillId="0" borderId="59" xfId="0" applyNumberFormat="1" applyFont="1" applyBorder="1" applyAlignment="1">
      <alignment horizontal="center" vertical="center"/>
    </xf>
    <xf numFmtId="0" fontId="0" fillId="0" borderId="7" xfId="0" applyFont="1" applyBorder="1" applyAlignment="1">
      <alignment horizontal="center" vertical="center"/>
    </xf>
    <xf numFmtId="164" fontId="0" fillId="0" borderId="7" xfId="0" applyNumberFormat="1" applyFont="1" applyBorder="1" applyAlignment="1">
      <alignment horizontal="center" vertical="center"/>
    </xf>
    <xf numFmtId="0" fontId="21" fillId="0" borderId="59" xfId="0" applyFont="1" applyFill="1" applyBorder="1" applyAlignment="1">
      <alignment horizontal="center" vertical="center"/>
    </xf>
    <xf numFmtId="0" fontId="21" fillId="0" borderId="59" xfId="0" applyFont="1" applyBorder="1" applyAlignment="1">
      <alignment horizontal="center" vertical="center"/>
    </xf>
    <xf numFmtId="2" fontId="21" fillId="0" borderId="59" xfId="0" applyNumberFormat="1" applyFont="1" applyFill="1" applyBorder="1" applyAlignment="1">
      <alignment horizontal="center" vertical="center"/>
    </xf>
    <xf numFmtId="164" fontId="21" fillId="0" borderId="59" xfId="0" applyNumberFormat="1" applyFont="1" applyFill="1" applyBorder="1" applyAlignment="1">
      <alignment horizontal="center" vertical="center"/>
    </xf>
    <xf numFmtId="11" fontId="21" fillId="0" borderId="59" xfId="0" applyNumberFormat="1" applyFont="1" applyFill="1" applyBorder="1" applyAlignment="1">
      <alignment horizontal="center" vertical="center"/>
    </xf>
    <xf numFmtId="164" fontId="0" fillId="0" borderId="59" xfId="0" applyNumberFormat="1" applyFont="1" applyFill="1" applyBorder="1" applyAlignment="1">
      <alignment horizontal="center" vertical="center"/>
    </xf>
    <xf numFmtId="11" fontId="0" fillId="0" borderId="32" xfId="0" applyNumberFormat="1" applyFont="1" applyFill="1" applyBorder="1" applyAlignment="1">
      <alignment horizontal="center" vertical="center"/>
    </xf>
    <xf numFmtId="0" fontId="21" fillId="0" borderId="7" xfId="0" applyFont="1" applyFill="1" applyBorder="1" applyAlignment="1">
      <alignment horizontal="center" vertical="center"/>
    </xf>
    <xf numFmtId="11" fontId="21" fillId="0" borderId="32"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21" fillId="0" borderId="4" xfId="0" applyFont="1" applyBorder="1" applyAlignment="1">
      <alignment horizontal="center" vertical="center"/>
    </xf>
    <xf numFmtId="2" fontId="21" fillId="0" borderId="4" xfId="0" applyNumberFormat="1" applyFont="1" applyFill="1" applyBorder="1" applyAlignment="1">
      <alignment horizontal="center" vertical="center"/>
    </xf>
    <xf numFmtId="164" fontId="21" fillId="0" borderId="4" xfId="0" applyNumberFormat="1" applyFont="1" applyFill="1" applyBorder="1" applyAlignment="1">
      <alignment horizontal="center" vertical="center"/>
    </xf>
    <xf numFmtId="11" fontId="21" fillId="0" borderId="4" xfId="0" applyNumberFormat="1" applyFont="1" applyFill="1" applyBorder="1" applyAlignment="1">
      <alignment horizontal="center" vertical="center"/>
    </xf>
    <xf numFmtId="11" fontId="21" fillId="0" borderId="5"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2" fontId="0" fillId="0" borderId="61" xfId="0" applyNumberFormat="1" applyFont="1" applyBorder="1" applyAlignment="1">
      <alignment horizontal="center" vertical="center"/>
    </xf>
    <xf numFmtId="2"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11" fontId="0" fillId="0" borderId="2" xfId="0" applyNumberFormat="1" applyFont="1" applyBorder="1" applyAlignment="1">
      <alignment horizontal="center" vertical="center"/>
    </xf>
    <xf numFmtId="164" fontId="0" fillId="0" borderId="1" xfId="0" applyNumberFormat="1" applyFont="1" applyBorder="1" applyAlignment="1">
      <alignment horizontal="center" vertical="center"/>
    </xf>
  </cellXfs>
  <cellStyles count="506">
    <cellStyle name="20 % - Akzent1 2" xfId="148" xr:uid="{00000000-0005-0000-0000-000000000000}"/>
    <cellStyle name="20 % - Akzent1 2 2" xfId="307" xr:uid="{00000000-0005-0000-0000-000001000000}"/>
    <cellStyle name="20 % - Akzent2 2" xfId="149" xr:uid="{00000000-0005-0000-0000-000002000000}"/>
    <cellStyle name="20 % - Akzent2 2 2" xfId="302" xr:uid="{00000000-0005-0000-0000-000003000000}"/>
    <cellStyle name="20 % - Akzent3 2" xfId="150" xr:uid="{00000000-0005-0000-0000-000004000000}"/>
    <cellStyle name="20 % - Akzent3 2 2" xfId="306" xr:uid="{00000000-0005-0000-0000-000005000000}"/>
    <cellStyle name="20 % - Akzent4 2" xfId="151" xr:uid="{00000000-0005-0000-0000-000006000000}"/>
    <cellStyle name="20 % - Akzent4 2 2" xfId="305" xr:uid="{00000000-0005-0000-0000-000007000000}"/>
    <cellStyle name="20 % - Akzent5 2" xfId="184" xr:uid="{00000000-0005-0000-0000-000008000000}"/>
    <cellStyle name="20 % - Akzent5 2 2" xfId="316" xr:uid="{00000000-0005-0000-0000-000009000000}"/>
    <cellStyle name="20 % - Akzent6 2" xfId="183" xr:uid="{00000000-0005-0000-0000-00000A000000}"/>
    <cellStyle name="20 % - Akzent6 2 2" xfId="315" xr:uid="{00000000-0005-0000-0000-00000B000000}"/>
    <cellStyle name="20% - Accent1 2" xfId="190" xr:uid="{00000000-0005-0000-0000-00000C000000}"/>
    <cellStyle name="20% - Accent1 2 2" xfId="317" xr:uid="{00000000-0005-0000-0000-00000D000000}"/>
    <cellStyle name="20% - Accent1 2 3" xfId="379" xr:uid="{00000000-0005-0000-0000-00000E000000}"/>
    <cellStyle name="20% - Accent1 3" xfId="191" xr:uid="{00000000-0005-0000-0000-00000F000000}"/>
    <cellStyle name="20% - Accent1 4" xfId="276" xr:uid="{00000000-0005-0000-0000-000010000000}"/>
    <cellStyle name="20% - Accent1 5" xfId="332" xr:uid="{00000000-0005-0000-0000-000011000000}"/>
    <cellStyle name="20% - Accent1 6" xfId="445" xr:uid="{00000000-0005-0000-0000-000012000000}"/>
    <cellStyle name="20% - Accent1 7" xfId="97" xr:uid="{00000000-0005-0000-0000-000013000000}"/>
    <cellStyle name="20% - Accent2 2" xfId="212" xr:uid="{00000000-0005-0000-0000-000014000000}"/>
    <cellStyle name="20% - Accent2 2 2" xfId="327" xr:uid="{00000000-0005-0000-0000-000015000000}"/>
    <cellStyle name="20% - Accent2 2 3" xfId="380" xr:uid="{00000000-0005-0000-0000-000016000000}"/>
    <cellStyle name="20% - Accent2 3" xfId="192" xr:uid="{00000000-0005-0000-0000-000017000000}"/>
    <cellStyle name="20% - Accent2 4" xfId="278" xr:uid="{00000000-0005-0000-0000-000018000000}"/>
    <cellStyle name="20% - Accent2 5" xfId="333" xr:uid="{00000000-0005-0000-0000-000019000000}"/>
    <cellStyle name="20% - Accent2 6" xfId="434" xr:uid="{00000000-0005-0000-0000-00001A000000}"/>
    <cellStyle name="20% - Accent2 7" xfId="98" xr:uid="{00000000-0005-0000-0000-00001B000000}"/>
    <cellStyle name="20% - Accent3 2" xfId="217" xr:uid="{00000000-0005-0000-0000-00001C000000}"/>
    <cellStyle name="20% - Accent3 2 2" xfId="328" xr:uid="{00000000-0005-0000-0000-00001D000000}"/>
    <cellStyle name="20% - Accent3 2 3" xfId="381" xr:uid="{00000000-0005-0000-0000-00001E000000}"/>
    <cellStyle name="20% - Accent3 3" xfId="216" xr:uid="{00000000-0005-0000-0000-00001F000000}"/>
    <cellStyle name="20% - Accent3 4" xfId="280" xr:uid="{00000000-0005-0000-0000-000020000000}"/>
    <cellStyle name="20% - Accent3 5" xfId="334" xr:uid="{00000000-0005-0000-0000-000021000000}"/>
    <cellStyle name="20% - Accent3 6" xfId="433" xr:uid="{00000000-0005-0000-0000-000022000000}"/>
    <cellStyle name="20% - Accent3 7" xfId="99" xr:uid="{00000000-0005-0000-0000-000023000000}"/>
    <cellStyle name="20% - Accent4 2" xfId="193" xr:uid="{00000000-0005-0000-0000-000024000000}"/>
    <cellStyle name="20% - Accent4 2 2" xfId="318" xr:uid="{00000000-0005-0000-0000-000025000000}"/>
    <cellStyle name="20% - Accent4 2 3" xfId="382" xr:uid="{00000000-0005-0000-0000-000026000000}"/>
    <cellStyle name="20% - Accent4 3" xfId="194" xr:uid="{00000000-0005-0000-0000-000027000000}"/>
    <cellStyle name="20% - Accent4 4" xfId="282" xr:uid="{00000000-0005-0000-0000-000028000000}"/>
    <cellStyle name="20% - Accent4 5" xfId="335" xr:uid="{00000000-0005-0000-0000-000029000000}"/>
    <cellStyle name="20% - Accent4 6" xfId="430" xr:uid="{00000000-0005-0000-0000-00002A000000}"/>
    <cellStyle name="20% - Accent4 7" xfId="100" xr:uid="{00000000-0005-0000-0000-00002B000000}"/>
    <cellStyle name="20% - Accent5 2" xfId="195" xr:uid="{00000000-0005-0000-0000-00002C000000}"/>
    <cellStyle name="20% - Accent5 2 2" xfId="319" xr:uid="{00000000-0005-0000-0000-00002D000000}"/>
    <cellStyle name="20% - Accent5 2 3" xfId="383" xr:uid="{00000000-0005-0000-0000-00002E000000}"/>
    <cellStyle name="20% - Accent5 3" xfId="196" xr:uid="{00000000-0005-0000-0000-00002F000000}"/>
    <cellStyle name="20% - Accent5 4" xfId="284" xr:uid="{00000000-0005-0000-0000-000030000000}"/>
    <cellStyle name="20% - Accent5 5" xfId="336" xr:uid="{00000000-0005-0000-0000-000031000000}"/>
    <cellStyle name="20% - Accent5 6" xfId="462" xr:uid="{00000000-0005-0000-0000-000032000000}"/>
    <cellStyle name="20% - Accent5 7" xfId="101" xr:uid="{00000000-0005-0000-0000-000033000000}"/>
    <cellStyle name="20% - Accent6 2" xfId="197" xr:uid="{00000000-0005-0000-0000-000034000000}"/>
    <cellStyle name="20% - Accent6 2 2" xfId="320" xr:uid="{00000000-0005-0000-0000-000035000000}"/>
    <cellStyle name="20% - Accent6 2 3" xfId="384" xr:uid="{00000000-0005-0000-0000-000036000000}"/>
    <cellStyle name="20% - Accent6 3" xfId="198" xr:uid="{00000000-0005-0000-0000-000037000000}"/>
    <cellStyle name="20% - Accent6 4" xfId="286" xr:uid="{00000000-0005-0000-0000-000038000000}"/>
    <cellStyle name="20% - Accent6 5" xfId="337" xr:uid="{00000000-0005-0000-0000-000039000000}"/>
    <cellStyle name="20% - Accent6 6" xfId="469" xr:uid="{00000000-0005-0000-0000-00003A000000}"/>
    <cellStyle name="20% - Accent6 7" xfId="102" xr:uid="{00000000-0005-0000-0000-00003B000000}"/>
    <cellStyle name="40 % - Akzent1 2" xfId="182" xr:uid="{00000000-0005-0000-0000-00003C000000}"/>
    <cellStyle name="40 % - Akzent1 2 2" xfId="314" xr:uid="{00000000-0005-0000-0000-00003D000000}"/>
    <cellStyle name="40 % - Akzent2 2" xfId="181" xr:uid="{00000000-0005-0000-0000-00003E000000}"/>
    <cellStyle name="40 % - Akzent2 2 2" xfId="313" xr:uid="{00000000-0005-0000-0000-00003F000000}"/>
    <cellStyle name="40 % - Akzent3 2" xfId="153" xr:uid="{00000000-0005-0000-0000-000040000000}"/>
    <cellStyle name="40 % - Akzent3 2 2" xfId="309" xr:uid="{00000000-0005-0000-0000-000041000000}"/>
    <cellStyle name="40 % - Akzent4 2" xfId="152" xr:uid="{00000000-0005-0000-0000-000042000000}"/>
    <cellStyle name="40 % - Akzent4 2 2" xfId="303" xr:uid="{00000000-0005-0000-0000-000043000000}"/>
    <cellStyle name="40 % - Akzent5 2" xfId="146" xr:uid="{00000000-0005-0000-0000-000044000000}"/>
    <cellStyle name="40 % - Akzent5 2 2" xfId="301" xr:uid="{00000000-0005-0000-0000-000045000000}"/>
    <cellStyle name="40 % - Akzent6 2" xfId="177" xr:uid="{00000000-0005-0000-0000-000046000000}"/>
    <cellStyle name="40 % - Akzent6 2 2" xfId="311" xr:uid="{00000000-0005-0000-0000-000047000000}"/>
    <cellStyle name="40% - Accent1 2" xfId="199" xr:uid="{00000000-0005-0000-0000-000048000000}"/>
    <cellStyle name="40% - Accent1 2 2" xfId="321" xr:uid="{00000000-0005-0000-0000-000049000000}"/>
    <cellStyle name="40% - Accent1 2 3" xfId="385" xr:uid="{00000000-0005-0000-0000-00004A000000}"/>
    <cellStyle name="40% - Accent1 3" xfId="200" xr:uid="{00000000-0005-0000-0000-00004B000000}"/>
    <cellStyle name="40% - Accent1 4" xfId="277" xr:uid="{00000000-0005-0000-0000-00004C000000}"/>
    <cellStyle name="40% - Accent1 5" xfId="338" xr:uid="{00000000-0005-0000-0000-00004D000000}"/>
    <cellStyle name="40% - Accent1 6" xfId="465" xr:uid="{00000000-0005-0000-0000-00004E000000}"/>
    <cellStyle name="40% - Accent1 7" xfId="103" xr:uid="{00000000-0005-0000-0000-00004F000000}"/>
    <cellStyle name="40% - Accent2 2" xfId="201" xr:uid="{00000000-0005-0000-0000-000050000000}"/>
    <cellStyle name="40% - Accent2 2 2" xfId="322" xr:uid="{00000000-0005-0000-0000-000051000000}"/>
    <cellStyle name="40% - Accent2 2 3" xfId="386" xr:uid="{00000000-0005-0000-0000-000052000000}"/>
    <cellStyle name="40% - Accent2 3" xfId="202" xr:uid="{00000000-0005-0000-0000-000053000000}"/>
    <cellStyle name="40% - Accent2 4" xfId="279" xr:uid="{00000000-0005-0000-0000-000054000000}"/>
    <cellStyle name="40% - Accent2 5" xfId="339" xr:uid="{00000000-0005-0000-0000-000055000000}"/>
    <cellStyle name="40% - Accent2 6" xfId="439" xr:uid="{00000000-0005-0000-0000-000056000000}"/>
    <cellStyle name="40% - Accent2 7" xfId="104" xr:uid="{00000000-0005-0000-0000-000057000000}"/>
    <cellStyle name="40% - Accent3 2" xfId="203" xr:uid="{00000000-0005-0000-0000-000058000000}"/>
    <cellStyle name="40% - Accent3 2 2" xfId="323" xr:uid="{00000000-0005-0000-0000-000059000000}"/>
    <cellStyle name="40% - Accent3 2 3" xfId="387" xr:uid="{00000000-0005-0000-0000-00005A000000}"/>
    <cellStyle name="40% - Accent3 3" xfId="157" xr:uid="{00000000-0005-0000-0000-00005B000000}"/>
    <cellStyle name="40% - Accent3 4" xfId="281" xr:uid="{00000000-0005-0000-0000-00005C000000}"/>
    <cellStyle name="40% - Accent3 5" xfId="340" xr:uid="{00000000-0005-0000-0000-00005D000000}"/>
    <cellStyle name="40% - Accent3 6" xfId="452" xr:uid="{00000000-0005-0000-0000-00005E000000}"/>
    <cellStyle name="40% - Accent3 7" xfId="105" xr:uid="{00000000-0005-0000-0000-00005F000000}"/>
    <cellStyle name="40% - Accent4 2" xfId="204" xr:uid="{00000000-0005-0000-0000-000060000000}"/>
    <cellStyle name="40% - Accent4 2 2" xfId="324" xr:uid="{00000000-0005-0000-0000-000061000000}"/>
    <cellStyle name="40% - Accent4 2 3" xfId="388" xr:uid="{00000000-0005-0000-0000-000062000000}"/>
    <cellStyle name="40% - Accent4 3" xfId="205" xr:uid="{00000000-0005-0000-0000-000063000000}"/>
    <cellStyle name="40% - Accent4 4" xfId="283" xr:uid="{00000000-0005-0000-0000-000064000000}"/>
    <cellStyle name="40% - Accent4 5" xfId="341" xr:uid="{00000000-0005-0000-0000-000065000000}"/>
    <cellStyle name="40% - Accent4 6" xfId="459" xr:uid="{00000000-0005-0000-0000-000066000000}"/>
    <cellStyle name="40% - Accent4 7" xfId="106" xr:uid="{00000000-0005-0000-0000-000067000000}"/>
    <cellStyle name="40% - Accent5 2" xfId="206" xr:uid="{00000000-0005-0000-0000-000068000000}"/>
    <cellStyle name="40% - Accent5 2 2" xfId="325" xr:uid="{00000000-0005-0000-0000-000069000000}"/>
    <cellStyle name="40% - Accent5 2 3" xfId="389" xr:uid="{00000000-0005-0000-0000-00006A000000}"/>
    <cellStyle name="40% - Accent5 3" xfId="207" xr:uid="{00000000-0005-0000-0000-00006B000000}"/>
    <cellStyle name="40% - Accent5 4" xfId="285" xr:uid="{00000000-0005-0000-0000-00006C000000}"/>
    <cellStyle name="40% - Accent5 5" xfId="342" xr:uid="{00000000-0005-0000-0000-00006D000000}"/>
    <cellStyle name="40% - Accent5 6" xfId="456" xr:uid="{00000000-0005-0000-0000-00006E000000}"/>
    <cellStyle name="40% - Accent5 7" xfId="107" xr:uid="{00000000-0005-0000-0000-00006F000000}"/>
    <cellStyle name="40% - Accent6 2" xfId="208" xr:uid="{00000000-0005-0000-0000-000070000000}"/>
    <cellStyle name="40% - Accent6 2 2" xfId="326" xr:uid="{00000000-0005-0000-0000-000071000000}"/>
    <cellStyle name="40% - Accent6 2 3" xfId="390" xr:uid="{00000000-0005-0000-0000-000072000000}"/>
    <cellStyle name="40% - Accent6 3" xfId="209" xr:uid="{00000000-0005-0000-0000-000073000000}"/>
    <cellStyle name="40% - Accent6 4" xfId="287" xr:uid="{00000000-0005-0000-0000-000074000000}"/>
    <cellStyle name="40% - Accent6 5" xfId="343" xr:uid="{00000000-0005-0000-0000-000075000000}"/>
    <cellStyle name="40% - Accent6 6" xfId="428" xr:uid="{00000000-0005-0000-0000-000076000000}"/>
    <cellStyle name="40% - Accent6 7" xfId="108" xr:uid="{00000000-0005-0000-0000-000077000000}"/>
    <cellStyle name="60 % - Akzent1 2" xfId="176" xr:uid="{00000000-0005-0000-0000-000078000000}"/>
    <cellStyle name="60 % - Akzent2 2" xfId="175" xr:uid="{00000000-0005-0000-0000-000079000000}"/>
    <cellStyle name="60 % - Akzent3 2" xfId="174" xr:uid="{00000000-0005-0000-0000-00007A000000}"/>
    <cellStyle name="60 % - Akzent4 2" xfId="173" xr:uid="{00000000-0005-0000-0000-00007B000000}"/>
    <cellStyle name="60 % - Akzent5 2" xfId="172" xr:uid="{00000000-0005-0000-0000-00007C000000}"/>
    <cellStyle name="60 % - Akzent6 2" xfId="171" xr:uid="{00000000-0005-0000-0000-00007D000000}"/>
    <cellStyle name="60% - Accent1 2" xfId="210" xr:uid="{00000000-0005-0000-0000-00007E000000}"/>
    <cellStyle name="60% - Accent1 2 2" xfId="391" xr:uid="{00000000-0005-0000-0000-00007F000000}"/>
    <cellStyle name="60% - Accent1 3" xfId="218" xr:uid="{00000000-0005-0000-0000-000080000000}"/>
    <cellStyle name="60% - Accent1 4" xfId="344" xr:uid="{00000000-0005-0000-0000-000081000000}"/>
    <cellStyle name="60% - Accent1 5" xfId="443" xr:uid="{00000000-0005-0000-0000-000082000000}"/>
    <cellStyle name="60% - Accent1 6" xfId="109" xr:uid="{00000000-0005-0000-0000-000083000000}"/>
    <cellStyle name="60% - Accent1 7" xfId="481" xr:uid="{00000000-0005-0000-0000-000084000000}"/>
    <cellStyle name="60% - Accent2 2" xfId="189" xr:uid="{00000000-0005-0000-0000-000085000000}"/>
    <cellStyle name="60% - Accent2 2 2" xfId="392" xr:uid="{00000000-0005-0000-0000-000086000000}"/>
    <cellStyle name="60% - Accent2 3" xfId="211" xr:uid="{00000000-0005-0000-0000-000087000000}"/>
    <cellStyle name="60% - Accent2 4" xfId="345" xr:uid="{00000000-0005-0000-0000-000088000000}"/>
    <cellStyle name="60% - Accent2 5" xfId="451" xr:uid="{00000000-0005-0000-0000-000089000000}"/>
    <cellStyle name="60% - Accent2 6" xfId="110" xr:uid="{00000000-0005-0000-0000-00008A000000}"/>
    <cellStyle name="60% - Accent3 2" xfId="213" xr:uid="{00000000-0005-0000-0000-00008B000000}"/>
    <cellStyle name="60% - Accent3 2 2" xfId="393" xr:uid="{00000000-0005-0000-0000-00008C000000}"/>
    <cellStyle name="60% - Accent3 3" xfId="214" xr:uid="{00000000-0005-0000-0000-00008D000000}"/>
    <cellStyle name="60% - Accent3 4" xfId="346" xr:uid="{00000000-0005-0000-0000-00008E000000}"/>
    <cellStyle name="60% - Accent3 5" xfId="447" xr:uid="{00000000-0005-0000-0000-00008F000000}"/>
    <cellStyle name="60% - Accent3 6" xfId="111" xr:uid="{00000000-0005-0000-0000-000090000000}"/>
    <cellStyle name="60% - Accent4 2" xfId="215" xr:uid="{00000000-0005-0000-0000-000091000000}"/>
    <cellStyle name="60% - Accent4 2 2" xfId="394" xr:uid="{00000000-0005-0000-0000-000092000000}"/>
    <cellStyle name="60% - Accent4 3" xfId="219" xr:uid="{00000000-0005-0000-0000-000093000000}"/>
    <cellStyle name="60% - Accent4 4" xfId="347" xr:uid="{00000000-0005-0000-0000-000094000000}"/>
    <cellStyle name="60% - Accent4 5" xfId="438" xr:uid="{00000000-0005-0000-0000-000095000000}"/>
    <cellStyle name="60% - Accent4 6" xfId="112" xr:uid="{00000000-0005-0000-0000-000096000000}"/>
    <cellStyle name="60% - Accent5 2" xfId="220" xr:uid="{00000000-0005-0000-0000-000097000000}"/>
    <cellStyle name="60% - Accent5 2 2" xfId="395" xr:uid="{00000000-0005-0000-0000-000098000000}"/>
    <cellStyle name="60% - Accent5 3" xfId="221" xr:uid="{00000000-0005-0000-0000-000099000000}"/>
    <cellStyle name="60% - Accent5 4" xfId="348" xr:uid="{00000000-0005-0000-0000-00009A000000}"/>
    <cellStyle name="60% - Accent5 5" xfId="435" xr:uid="{00000000-0005-0000-0000-00009B000000}"/>
    <cellStyle name="60% - Accent5 6" xfId="113" xr:uid="{00000000-0005-0000-0000-00009C000000}"/>
    <cellStyle name="60% - Accent6 2" xfId="222" xr:uid="{00000000-0005-0000-0000-00009D000000}"/>
    <cellStyle name="60% - Accent6 2 2" xfId="396" xr:uid="{00000000-0005-0000-0000-00009E000000}"/>
    <cellStyle name="60% - Accent6 3" xfId="223" xr:uid="{00000000-0005-0000-0000-00009F000000}"/>
    <cellStyle name="60% - Accent6 4" xfId="349" xr:uid="{00000000-0005-0000-0000-0000A0000000}"/>
    <cellStyle name="60% - Accent6 5" xfId="460" xr:uid="{00000000-0005-0000-0000-0000A1000000}"/>
    <cellStyle name="60% - Accent6 6" xfId="114" xr:uid="{00000000-0005-0000-0000-0000A2000000}"/>
    <cellStyle name="Accent1 2" xfId="224" xr:uid="{00000000-0005-0000-0000-0000A3000000}"/>
    <cellStyle name="Accent1 2 2" xfId="397" xr:uid="{00000000-0005-0000-0000-0000A4000000}"/>
    <cellStyle name="Accent1 3" xfId="225" xr:uid="{00000000-0005-0000-0000-0000A5000000}"/>
    <cellStyle name="Accent1 4" xfId="350" xr:uid="{00000000-0005-0000-0000-0000A6000000}"/>
    <cellStyle name="Accent1 5" xfId="463" xr:uid="{00000000-0005-0000-0000-0000A7000000}"/>
    <cellStyle name="Accent1 6" xfId="115" xr:uid="{00000000-0005-0000-0000-0000A8000000}"/>
    <cellStyle name="Accent2 2" xfId="226" xr:uid="{00000000-0005-0000-0000-0000A9000000}"/>
    <cellStyle name="Accent2 2 2" xfId="398" xr:uid="{00000000-0005-0000-0000-0000AA000000}"/>
    <cellStyle name="Accent2 3" xfId="227" xr:uid="{00000000-0005-0000-0000-0000AB000000}"/>
    <cellStyle name="Accent2 4" xfId="351" xr:uid="{00000000-0005-0000-0000-0000AC000000}"/>
    <cellStyle name="Accent2 5" xfId="468" xr:uid="{00000000-0005-0000-0000-0000AD000000}"/>
    <cellStyle name="Accent2 6" xfId="116" xr:uid="{00000000-0005-0000-0000-0000AE000000}"/>
    <cellStyle name="Accent3 2" xfId="228" xr:uid="{00000000-0005-0000-0000-0000AF000000}"/>
    <cellStyle name="Accent3 2 2" xfId="399" xr:uid="{00000000-0005-0000-0000-0000B0000000}"/>
    <cellStyle name="Accent3 3" xfId="229" xr:uid="{00000000-0005-0000-0000-0000B1000000}"/>
    <cellStyle name="Accent3 4" xfId="352" xr:uid="{00000000-0005-0000-0000-0000B2000000}"/>
    <cellStyle name="Accent3 5" xfId="466" xr:uid="{00000000-0005-0000-0000-0000B3000000}"/>
    <cellStyle name="Accent3 6" xfId="117" xr:uid="{00000000-0005-0000-0000-0000B4000000}"/>
    <cellStyle name="Accent4 2" xfId="230" xr:uid="{00000000-0005-0000-0000-0000B5000000}"/>
    <cellStyle name="Accent4 2 2" xfId="400" xr:uid="{00000000-0005-0000-0000-0000B6000000}"/>
    <cellStyle name="Accent4 3" xfId="231" xr:uid="{00000000-0005-0000-0000-0000B7000000}"/>
    <cellStyle name="Accent4 4" xfId="353" xr:uid="{00000000-0005-0000-0000-0000B8000000}"/>
    <cellStyle name="Accent4 5" xfId="429" xr:uid="{00000000-0005-0000-0000-0000B9000000}"/>
    <cellStyle name="Accent4 6" xfId="118" xr:uid="{00000000-0005-0000-0000-0000BA000000}"/>
    <cellStyle name="Accent5 2" xfId="232" xr:uid="{00000000-0005-0000-0000-0000BB000000}"/>
    <cellStyle name="Accent5 2 2" xfId="290" xr:uid="{00000000-0005-0000-0000-0000BC000000}"/>
    <cellStyle name="Accent5 2 3" xfId="401" xr:uid="{00000000-0005-0000-0000-0000BD000000}"/>
    <cellStyle name="Accent5 3" xfId="233" xr:uid="{00000000-0005-0000-0000-0000BE000000}"/>
    <cellStyle name="Accent5 4" xfId="354" xr:uid="{00000000-0005-0000-0000-0000BF000000}"/>
    <cellStyle name="Accent5 5" xfId="454" xr:uid="{00000000-0005-0000-0000-0000C0000000}"/>
    <cellStyle name="Accent5 6" xfId="119" xr:uid="{00000000-0005-0000-0000-0000C1000000}"/>
    <cellStyle name="Accent6 2" xfId="234" xr:uid="{00000000-0005-0000-0000-0000C2000000}"/>
    <cellStyle name="Accent6 2 2" xfId="402" xr:uid="{00000000-0005-0000-0000-0000C3000000}"/>
    <cellStyle name="Accent6 3" xfId="235" xr:uid="{00000000-0005-0000-0000-0000C4000000}"/>
    <cellStyle name="Accent6 4" xfId="355" xr:uid="{00000000-0005-0000-0000-0000C5000000}"/>
    <cellStyle name="Accent6 5" xfId="458" xr:uid="{00000000-0005-0000-0000-0000C6000000}"/>
    <cellStyle name="Accent6 6" xfId="120" xr:uid="{00000000-0005-0000-0000-0000C7000000}"/>
    <cellStyle name="Akzent1 2" xfId="170" xr:uid="{00000000-0005-0000-0000-0000C8000000}"/>
    <cellStyle name="Akzent2 2" xfId="169" xr:uid="{00000000-0005-0000-0000-0000C9000000}"/>
    <cellStyle name="Akzent3 2" xfId="168" xr:uid="{00000000-0005-0000-0000-0000CA000000}"/>
    <cellStyle name="Akzent4 2" xfId="167" xr:uid="{00000000-0005-0000-0000-0000CB000000}"/>
    <cellStyle name="Akzent5 2" xfId="166" xr:uid="{00000000-0005-0000-0000-0000CC000000}"/>
    <cellStyle name="Akzent6 2" xfId="165" xr:uid="{00000000-0005-0000-0000-0000CD000000}"/>
    <cellStyle name="Ausgabe 2" xfId="164" xr:uid="{00000000-0005-0000-0000-0000CE000000}"/>
    <cellStyle name="Bad" xfId="3" builtinId="27"/>
    <cellStyle name="Bad 2" xfId="236" xr:uid="{00000000-0005-0000-0000-0000D0000000}"/>
    <cellStyle name="Bad 2 2" xfId="403" xr:uid="{00000000-0005-0000-0000-0000D1000000}"/>
    <cellStyle name="Bad 3" xfId="237" xr:uid="{00000000-0005-0000-0000-0000D2000000}"/>
    <cellStyle name="Bad 4" xfId="356" xr:uid="{00000000-0005-0000-0000-0000D3000000}"/>
    <cellStyle name="Bad 5" xfId="457" xr:uid="{00000000-0005-0000-0000-0000D4000000}"/>
    <cellStyle name="Bad 6" xfId="121" xr:uid="{00000000-0005-0000-0000-0000D5000000}"/>
    <cellStyle name="Berechnung 2" xfId="163" xr:uid="{00000000-0005-0000-0000-0000D6000000}"/>
    <cellStyle name="Calculation 2" xfId="238" xr:uid="{00000000-0005-0000-0000-0000D7000000}"/>
    <cellStyle name="Calculation 2 2" xfId="404" xr:uid="{00000000-0005-0000-0000-0000D8000000}"/>
    <cellStyle name="Calculation 3" xfId="239" xr:uid="{00000000-0005-0000-0000-0000D9000000}"/>
    <cellStyle name="Calculation 4" xfId="357" xr:uid="{00000000-0005-0000-0000-0000DA000000}"/>
    <cellStyle name="Calculation 5" xfId="432" xr:uid="{00000000-0005-0000-0000-0000DB000000}"/>
    <cellStyle name="Calculation 6" xfId="122" xr:uid="{00000000-0005-0000-0000-0000DC000000}"/>
    <cellStyle name="Check Cell 2" xfId="240" xr:uid="{00000000-0005-0000-0000-0000DD000000}"/>
    <cellStyle name="Check Cell 2 2" xfId="405" xr:uid="{00000000-0005-0000-0000-0000DE000000}"/>
    <cellStyle name="Check Cell 3" xfId="241" xr:uid="{00000000-0005-0000-0000-0000DF000000}"/>
    <cellStyle name="Check Cell 4" xfId="358" xr:uid="{00000000-0005-0000-0000-0000E0000000}"/>
    <cellStyle name="Check Cell 5" xfId="444" xr:uid="{00000000-0005-0000-0000-0000E1000000}"/>
    <cellStyle name="Check Cell 6" xfId="123" xr:uid="{00000000-0005-0000-0000-0000E2000000}"/>
    <cellStyle name="Comma" xfId="6" builtinId="3"/>
    <cellStyle name="Comma 2" xfId="15" xr:uid="{00000000-0005-0000-0000-0000E4000000}"/>
    <cellStyle name="Comma 2 2" xfId="242" xr:uid="{00000000-0005-0000-0000-0000E5000000}"/>
    <cellStyle name="Comma 2 3" xfId="422" xr:uid="{00000000-0005-0000-0000-0000E6000000}"/>
    <cellStyle name="Comma 2 4" xfId="147" xr:uid="{00000000-0005-0000-0000-0000E7000000}"/>
    <cellStyle name="Comma 3" xfId="12" xr:uid="{00000000-0005-0000-0000-0000E8000000}"/>
    <cellStyle name="Comma 3 2" xfId="18" xr:uid="{00000000-0005-0000-0000-0000E9000000}"/>
    <cellStyle name="Comma 3 2 2" xfId="27" xr:uid="{00000000-0005-0000-0000-0000EA000000}"/>
    <cellStyle name="Comma 3 2 2 2" xfId="56" xr:uid="{00000000-0005-0000-0000-0000EB000000}"/>
    <cellStyle name="Comma 3 2 2 2 2" xfId="95" xr:uid="{00000000-0005-0000-0000-0000EC000000}"/>
    <cellStyle name="Comma 3 2 2 3" xfId="31" xr:uid="{00000000-0005-0000-0000-0000ED000000}"/>
    <cellStyle name="Comma 3 2 2 3 2" xfId="72" xr:uid="{00000000-0005-0000-0000-0000EE000000}"/>
    <cellStyle name="Comma 3 2 2 4" xfId="70" xr:uid="{00000000-0005-0000-0000-0000EF000000}"/>
    <cellStyle name="Comma 3 2 3" xfId="49" xr:uid="{00000000-0005-0000-0000-0000F0000000}"/>
    <cellStyle name="Comma 3 2 3 2" xfId="88" xr:uid="{00000000-0005-0000-0000-0000F1000000}"/>
    <cellStyle name="Comma 3 2 4" xfId="30" xr:uid="{00000000-0005-0000-0000-0000F2000000}"/>
    <cellStyle name="Comma 3 2 4 2" xfId="71" xr:uid="{00000000-0005-0000-0000-0000F3000000}"/>
    <cellStyle name="Comma 3 2 5" xfId="423" xr:uid="{00000000-0005-0000-0000-0000F4000000}"/>
    <cellStyle name="Comma 3 2 6" xfId="63" xr:uid="{00000000-0005-0000-0000-0000F5000000}"/>
    <cellStyle name="Comma 3 3" xfId="274" xr:uid="{00000000-0005-0000-0000-0000F6000000}"/>
    <cellStyle name="Comma 4" xfId="58" xr:uid="{00000000-0005-0000-0000-0000F7000000}"/>
    <cellStyle name="Comma 4 2" xfId="421" xr:uid="{00000000-0005-0000-0000-0000F8000000}"/>
    <cellStyle name="Comma 5" xfId="374" xr:uid="{00000000-0005-0000-0000-0000F9000000}"/>
    <cellStyle name="Comma 6" xfId="470" xr:uid="{00000000-0005-0000-0000-0000FA000000}"/>
    <cellStyle name="Comma 7" xfId="471" xr:uid="{00000000-0005-0000-0000-0000FB000000}"/>
    <cellStyle name="Eingabe 2" xfId="162" xr:uid="{00000000-0005-0000-0000-0000FC000000}"/>
    <cellStyle name="Ergebnis 2" xfId="161" xr:uid="{00000000-0005-0000-0000-0000FD000000}"/>
    <cellStyle name="Erklärender Text 2" xfId="160" xr:uid="{00000000-0005-0000-0000-0000FE000000}"/>
    <cellStyle name="Explanatory Text 2" xfId="243" xr:uid="{00000000-0005-0000-0000-0000FF000000}"/>
    <cellStyle name="Explanatory Text 2 2" xfId="406" xr:uid="{00000000-0005-0000-0000-000000010000}"/>
    <cellStyle name="Explanatory Text 3" xfId="244" xr:uid="{00000000-0005-0000-0000-000001010000}"/>
    <cellStyle name="Explanatory Text 4" xfId="359" xr:uid="{00000000-0005-0000-0000-000002010000}"/>
    <cellStyle name="Explanatory Text 5" xfId="450" xr:uid="{00000000-0005-0000-0000-000003010000}"/>
    <cellStyle name="Explanatory Text 6" xfId="124" xr:uid="{00000000-0005-0000-0000-000004010000}"/>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88" builtinId="9" hidden="1"/>
    <cellStyle name="Followed Hyperlink" xfId="489" builtinId="9" hidden="1"/>
    <cellStyle name="Followed Hyperlink" xfId="487" builtinId="9" hidden="1"/>
    <cellStyle name="Followed Hyperlink" xfId="4"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Good 2" xfId="245" xr:uid="{00000000-0005-0000-0000-000018010000}"/>
    <cellStyle name="Good 2 2" xfId="407" xr:uid="{00000000-0005-0000-0000-000019010000}"/>
    <cellStyle name="Good 3" xfId="246" xr:uid="{00000000-0005-0000-0000-00001A010000}"/>
    <cellStyle name="Good 4" xfId="360" xr:uid="{00000000-0005-0000-0000-00001B010000}"/>
    <cellStyle name="Good 5" xfId="448" xr:uid="{00000000-0005-0000-0000-00001C010000}"/>
    <cellStyle name="Good 6" xfId="125" xr:uid="{00000000-0005-0000-0000-00001D010000}"/>
    <cellStyle name="Gut 2" xfId="159" xr:uid="{00000000-0005-0000-0000-00001E010000}"/>
    <cellStyle name="Heading 1 2" xfId="247" xr:uid="{00000000-0005-0000-0000-00001F010000}"/>
    <cellStyle name="Heading 1 2 2" xfId="408" xr:uid="{00000000-0005-0000-0000-000020010000}"/>
    <cellStyle name="Heading 1 3" xfId="248" xr:uid="{00000000-0005-0000-0000-000021010000}"/>
    <cellStyle name="Heading 1 4" xfId="361" xr:uid="{00000000-0005-0000-0000-000022010000}"/>
    <cellStyle name="Heading 1 5" xfId="437" xr:uid="{00000000-0005-0000-0000-000023010000}"/>
    <cellStyle name="Heading 1 6" xfId="126" xr:uid="{00000000-0005-0000-0000-000024010000}"/>
    <cellStyle name="Heading 2 2" xfId="249" xr:uid="{00000000-0005-0000-0000-000025010000}"/>
    <cellStyle name="Heading 2 2 2" xfId="409" xr:uid="{00000000-0005-0000-0000-000026010000}"/>
    <cellStyle name="Heading 2 3" xfId="250" xr:uid="{00000000-0005-0000-0000-000027010000}"/>
    <cellStyle name="Heading 2 4" xfId="362" xr:uid="{00000000-0005-0000-0000-000028010000}"/>
    <cellStyle name="Heading 2 5" xfId="431" xr:uid="{00000000-0005-0000-0000-000029010000}"/>
    <cellStyle name="Heading 2 6" xfId="127" xr:uid="{00000000-0005-0000-0000-00002A010000}"/>
    <cellStyle name="Heading 3 2" xfId="251" xr:uid="{00000000-0005-0000-0000-00002B010000}"/>
    <cellStyle name="Heading 3 2 2" xfId="410" xr:uid="{00000000-0005-0000-0000-00002C010000}"/>
    <cellStyle name="Heading 3 3" xfId="252" xr:uid="{00000000-0005-0000-0000-00002D010000}"/>
    <cellStyle name="Heading 3 4" xfId="363" xr:uid="{00000000-0005-0000-0000-00002E010000}"/>
    <cellStyle name="Heading 3 5" xfId="440" xr:uid="{00000000-0005-0000-0000-00002F010000}"/>
    <cellStyle name="Heading 3 6" xfId="128" xr:uid="{00000000-0005-0000-0000-000030010000}"/>
    <cellStyle name="Heading 4 2" xfId="253" xr:uid="{00000000-0005-0000-0000-000031010000}"/>
    <cellStyle name="Heading 4 2 2" xfId="411" xr:uid="{00000000-0005-0000-0000-000032010000}"/>
    <cellStyle name="Heading 4 3" xfId="254" xr:uid="{00000000-0005-0000-0000-000033010000}"/>
    <cellStyle name="Heading 4 4" xfId="364" xr:uid="{00000000-0005-0000-0000-000034010000}"/>
    <cellStyle name="Heading 4 5" xfId="461" xr:uid="{00000000-0005-0000-0000-000035010000}"/>
    <cellStyle name="Heading 4 6" xfId="129" xr:uid="{00000000-0005-0000-0000-000036010000}"/>
    <cellStyle name="Hyperlink" xfId="5" builtinId="8" hidden="1"/>
    <cellStyle name="Hyperlink 2" xfId="142" xr:uid="{00000000-0005-0000-0000-000038010000}"/>
    <cellStyle name="Hyperlink 2 2" xfId="289" xr:uid="{00000000-0005-0000-0000-000039010000}"/>
    <cellStyle name="Input 2" xfId="255" xr:uid="{00000000-0005-0000-0000-00003A010000}"/>
    <cellStyle name="Input 2 2" xfId="412" xr:uid="{00000000-0005-0000-0000-00003B010000}"/>
    <cellStyle name="Input 3" xfId="256" xr:uid="{00000000-0005-0000-0000-00003C010000}"/>
    <cellStyle name="Input 4" xfId="365" xr:uid="{00000000-0005-0000-0000-00003D010000}"/>
    <cellStyle name="Input 5" xfId="467" xr:uid="{00000000-0005-0000-0000-00003E010000}"/>
    <cellStyle name="Input 6" xfId="130" xr:uid="{00000000-0005-0000-0000-00003F010000}"/>
    <cellStyle name="Linked Cell 2" xfId="257" xr:uid="{00000000-0005-0000-0000-000040010000}"/>
    <cellStyle name="Linked Cell 2 2" xfId="413" xr:uid="{00000000-0005-0000-0000-000041010000}"/>
    <cellStyle name="Linked Cell 3" xfId="258" xr:uid="{00000000-0005-0000-0000-000042010000}"/>
    <cellStyle name="Linked Cell 4" xfId="366" xr:uid="{00000000-0005-0000-0000-000043010000}"/>
    <cellStyle name="Linked Cell 5" xfId="464" xr:uid="{00000000-0005-0000-0000-000044010000}"/>
    <cellStyle name="Linked Cell 6" xfId="131" xr:uid="{00000000-0005-0000-0000-000045010000}"/>
    <cellStyle name="Neutral 2" xfId="158" xr:uid="{00000000-0005-0000-0000-000046010000}"/>
    <cellStyle name="Neutral 2 2" xfId="414" xr:uid="{00000000-0005-0000-0000-000047010000}"/>
    <cellStyle name="Neutral 3" xfId="259" xr:uid="{00000000-0005-0000-0000-000048010000}"/>
    <cellStyle name="Neutral 4" xfId="367" xr:uid="{00000000-0005-0000-0000-000049010000}"/>
    <cellStyle name="Neutral 5" xfId="441" xr:uid="{00000000-0005-0000-0000-00004A010000}"/>
    <cellStyle name="Neutral 6" xfId="132" xr:uid="{00000000-0005-0000-0000-00004B010000}"/>
    <cellStyle name="Normal" xfId="0" builtinId="0"/>
    <cellStyle name="Normal 10" xfId="42" xr:uid="{00000000-0005-0000-0000-00004D010000}"/>
    <cellStyle name="Normal 10 2" xfId="43" xr:uid="{00000000-0005-0000-0000-00004E010000}"/>
    <cellStyle name="Normal 10 3" xfId="57" xr:uid="{00000000-0005-0000-0000-00004F010000}"/>
    <cellStyle name="Normal 10 3 2" xfId="96" xr:uid="{00000000-0005-0000-0000-000050010000}"/>
    <cellStyle name="Normal 10 4" xfId="298" xr:uid="{00000000-0005-0000-0000-000051010000}"/>
    <cellStyle name="Normal 10 5" xfId="83" xr:uid="{00000000-0005-0000-0000-000052010000}"/>
    <cellStyle name="Normal 11" xfId="299" xr:uid="{00000000-0005-0000-0000-000053010000}"/>
    <cellStyle name="Normal 12" xfId="300" xr:uid="{00000000-0005-0000-0000-000054010000}"/>
    <cellStyle name="Normal 13" xfId="291" xr:uid="{00000000-0005-0000-0000-000055010000}"/>
    <cellStyle name="Normal 14" xfId="273" xr:uid="{00000000-0005-0000-0000-000056010000}"/>
    <cellStyle name="Normal 15" xfId="331" xr:uid="{00000000-0005-0000-0000-000057010000}"/>
    <cellStyle name="Normal 16" xfId="375" xr:uid="{00000000-0005-0000-0000-000058010000}"/>
    <cellStyle name="Normal 17" xfId="377" xr:uid="{00000000-0005-0000-0000-000059010000}"/>
    <cellStyle name="Normal 18" xfId="420" xr:uid="{00000000-0005-0000-0000-00005A010000}"/>
    <cellStyle name="Normal 19" xfId="472" xr:uid="{00000000-0005-0000-0000-00005B010000}"/>
    <cellStyle name="Normal 19 2" xfId="477" xr:uid="{00000000-0005-0000-0000-00005C010000}"/>
    <cellStyle name="Normal 2" xfId="1" xr:uid="{00000000-0005-0000-0000-00005D010000}"/>
    <cellStyle name="Normal 2 2" xfId="140" xr:uid="{00000000-0005-0000-0000-00005E010000}"/>
    <cellStyle name="Normal 2 3" xfId="288" xr:uid="{00000000-0005-0000-0000-00005F010000}"/>
    <cellStyle name="Normal 2 4" xfId="133" xr:uid="{00000000-0005-0000-0000-000060010000}"/>
    <cellStyle name="Normal 2 5" xfId="8" xr:uid="{00000000-0005-0000-0000-000061010000}"/>
    <cellStyle name="Normal 2 6" xfId="485" xr:uid="{00000000-0005-0000-0000-000062010000}"/>
    <cellStyle name="Normal 20" xfId="473" xr:uid="{00000000-0005-0000-0000-000063010000}"/>
    <cellStyle name="Normal 21" xfId="474" xr:uid="{00000000-0005-0000-0000-000064010000}"/>
    <cellStyle name="Normal 22" xfId="475" xr:uid="{00000000-0005-0000-0000-000065010000}"/>
    <cellStyle name="Normal 23" xfId="480" xr:uid="{00000000-0005-0000-0000-000066010000}"/>
    <cellStyle name="Normal 23 2" xfId="499" xr:uid="{00000000-0005-0000-0000-000067010000}"/>
    <cellStyle name="Normal 24" xfId="483" xr:uid="{00000000-0005-0000-0000-000068010000}"/>
    <cellStyle name="Normal 24 2" xfId="486" xr:uid="{00000000-0005-0000-0000-000069010000}"/>
    <cellStyle name="Normal 25" xfId="484" xr:uid="{00000000-0005-0000-0000-00006A010000}"/>
    <cellStyle name="Normal 3" xfId="2" xr:uid="{00000000-0005-0000-0000-00006B010000}"/>
    <cellStyle name="Normal 3 10" xfId="13" xr:uid="{00000000-0005-0000-0000-00006C010000}"/>
    <cellStyle name="Normal 3 2" xfId="23" xr:uid="{00000000-0005-0000-0000-00006D010000}"/>
    <cellStyle name="Normal 3 2 2" xfId="52" xr:uid="{00000000-0005-0000-0000-00006E010000}"/>
    <cellStyle name="Normal 3 2 2 2" xfId="308" xr:uid="{00000000-0005-0000-0000-00006F010000}"/>
    <cellStyle name="Normal 3 2 2 3" xfId="91" xr:uid="{00000000-0005-0000-0000-000070010000}"/>
    <cellStyle name="Normal 3 2 3" xfId="33" xr:uid="{00000000-0005-0000-0000-000071010000}"/>
    <cellStyle name="Normal 3 2 3 2" xfId="74" xr:uid="{00000000-0005-0000-0000-000072010000}"/>
    <cellStyle name="Normal 3 2 4" xfId="141" xr:uid="{00000000-0005-0000-0000-000073010000}"/>
    <cellStyle name="Normal 3 2 5" xfId="66" xr:uid="{00000000-0005-0000-0000-000074010000}"/>
    <cellStyle name="Normal 3 3" xfId="45" xr:uid="{00000000-0005-0000-0000-000075010000}"/>
    <cellStyle name="Normal 3 3 2" xfId="144" xr:uid="{00000000-0005-0000-0000-000076010000}"/>
    <cellStyle name="Normal 3 3 3" xfId="84" xr:uid="{00000000-0005-0000-0000-000077010000}"/>
    <cellStyle name="Normal 3 4" xfId="32" xr:uid="{00000000-0005-0000-0000-000078010000}"/>
    <cellStyle name="Normal 3 4 2" xfId="260" xr:uid="{00000000-0005-0000-0000-000079010000}"/>
    <cellStyle name="Normal 3 4 3" xfId="73" xr:uid="{00000000-0005-0000-0000-00007A010000}"/>
    <cellStyle name="Normal 3 5" xfId="304" xr:uid="{00000000-0005-0000-0000-00007B010000}"/>
    <cellStyle name="Normal 3 6" xfId="378" xr:uid="{00000000-0005-0000-0000-00007C010000}"/>
    <cellStyle name="Normal 3 7" xfId="424" xr:uid="{00000000-0005-0000-0000-00007D010000}"/>
    <cellStyle name="Normal 3 8" xfId="134" xr:uid="{00000000-0005-0000-0000-00007E010000}"/>
    <cellStyle name="Normal 3 9" xfId="59" xr:uid="{00000000-0005-0000-0000-00007F010000}"/>
    <cellStyle name="Normal 4" xfId="10" xr:uid="{00000000-0005-0000-0000-000080010000}"/>
    <cellStyle name="Normal 4 2" xfId="143" xr:uid="{00000000-0005-0000-0000-000081010000}"/>
    <cellStyle name="Normal 4 3" xfId="292" xr:uid="{00000000-0005-0000-0000-000082010000}"/>
    <cellStyle name="Normal 5" xfId="11" xr:uid="{00000000-0005-0000-0000-000083010000}"/>
    <cellStyle name="Normal 5 2" xfId="293" xr:uid="{00000000-0005-0000-0000-000084010000}"/>
    <cellStyle name="Normal 5 3" xfId="329" xr:uid="{00000000-0005-0000-0000-000085010000}"/>
    <cellStyle name="Normal 5 4" xfId="425" xr:uid="{00000000-0005-0000-0000-000086010000}"/>
    <cellStyle name="Normal 5 5" xfId="261" xr:uid="{00000000-0005-0000-0000-000087010000}"/>
    <cellStyle name="Normal 6" xfId="16" xr:uid="{00000000-0005-0000-0000-000088010000}"/>
    <cellStyle name="Normal 6 2" xfId="25" xr:uid="{00000000-0005-0000-0000-000089010000}"/>
    <cellStyle name="Normal 6 2 2" xfId="54" xr:uid="{00000000-0005-0000-0000-00008A010000}"/>
    <cellStyle name="Normal 6 2 2 2" xfId="93" xr:uid="{00000000-0005-0000-0000-00008B010000}"/>
    <cellStyle name="Normal 6 2 3" xfId="35" xr:uid="{00000000-0005-0000-0000-00008C010000}"/>
    <cellStyle name="Normal 6 2 3 2" xfId="76" xr:uid="{00000000-0005-0000-0000-00008D010000}"/>
    <cellStyle name="Normal 6 2 4" xfId="294" xr:uid="{00000000-0005-0000-0000-00008E010000}"/>
    <cellStyle name="Normal 6 2 5" xfId="68" xr:uid="{00000000-0005-0000-0000-00008F010000}"/>
    <cellStyle name="Normal 6 3" xfId="47" xr:uid="{00000000-0005-0000-0000-000090010000}"/>
    <cellStyle name="Normal 6 3 2" xfId="426" xr:uid="{00000000-0005-0000-0000-000091010000}"/>
    <cellStyle name="Normal 6 3 3" xfId="86" xr:uid="{00000000-0005-0000-0000-000092010000}"/>
    <cellStyle name="Normal 6 4" xfId="34" xr:uid="{00000000-0005-0000-0000-000093010000}"/>
    <cellStyle name="Normal 6 4 2" xfId="75" xr:uid="{00000000-0005-0000-0000-000094010000}"/>
    <cellStyle name="Normal 6 5" xfId="262" xr:uid="{00000000-0005-0000-0000-000095010000}"/>
    <cellStyle name="Normal 6 6" xfId="61" xr:uid="{00000000-0005-0000-0000-000096010000}"/>
    <cellStyle name="Normal 7" xfId="21" xr:uid="{00000000-0005-0000-0000-000097010000}"/>
    <cellStyle name="Normal 7 2" xfId="376" xr:uid="{00000000-0005-0000-0000-000098010000}"/>
    <cellStyle name="Normal 7 3" xfId="295" xr:uid="{00000000-0005-0000-0000-000099010000}"/>
    <cellStyle name="Normal 8" xfId="19" xr:uid="{00000000-0005-0000-0000-00009A010000}"/>
    <cellStyle name="Normal 8 2" xfId="50" xr:uid="{00000000-0005-0000-0000-00009B010000}"/>
    <cellStyle name="Normal 8 2 2" xfId="89" xr:uid="{00000000-0005-0000-0000-00009C010000}"/>
    <cellStyle name="Normal 8 3" xfId="36" xr:uid="{00000000-0005-0000-0000-00009D010000}"/>
    <cellStyle name="Normal 8 3 2" xfId="77" xr:uid="{00000000-0005-0000-0000-00009E010000}"/>
    <cellStyle name="Normal 8 4" xfId="296" xr:uid="{00000000-0005-0000-0000-00009F010000}"/>
    <cellStyle name="Normal 8 5" xfId="64" xr:uid="{00000000-0005-0000-0000-0000A0010000}"/>
    <cellStyle name="Normal 9" xfId="28" xr:uid="{00000000-0005-0000-0000-0000A1010000}"/>
    <cellStyle name="Normal 9 2" xfId="297" xr:uid="{00000000-0005-0000-0000-0000A2010000}"/>
    <cellStyle name="Normal_1 - GIANT Suppl information - GENDER paper - GWAS - LIFELINES 2 2" xfId="479" xr:uid="{00000000-0005-0000-0000-0000A3010000}"/>
    <cellStyle name="Normal_1 - GIANT Suppl information - GENDER paper - GWAS - LIFELINES 3 2" xfId="478" xr:uid="{00000000-0005-0000-0000-0000A4010000}"/>
    <cellStyle name="Normal_GIANT_Tables_eks82908_cjw82908_eks83008" xfId="476" xr:uid="{00000000-0005-0000-0000-0000A5010000}"/>
    <cellStyle name="Normal_GIANT_Tables_eks82908_cjw82908_eks83008 2" xfId="482" xr:uid="{00000000-0005-0000-0000-0000A6010000}"/>
    <cellStyle name="Note 2" xfId="263" xr:uid="{00000000-0005-0000-0000-0000A7010000}"/>
    <cellStyle name="Note 2 2" xfId="330" xr:uid="{00000000-0005-0000-0000-0000A8010000}"/>
    <cellStyle name="Note 2 3" xfId="415" xr:uid="{00000000-0005-0000-0000-0000A9010000}"/>
    <cellStyle name="Note 3" xfId="264" xr:uid="{00000000-0005-0000-0000-0000AA010000}"/>
    <cellStyle name="Note 4" xfId="275" xr:uid="{00000000-0005-0000-0000-0000AB010000}"/>
    <cellStyle name="Note 5" xfId="368" xr:uid="{00000000-0005-0000-0000-0000AC010000}"/>
    <cellStyle name="Note 6" xfId="455" xr:uid="{00000000-0005-0000-0000-0000AD010000}"/>
    <cellStyle name="Note 7" xfId="135" xr:uid="{00000000-0005-0000-0000-0000AE010000}"/>
    <cellStyle name="Notiz 2" xfId="156" xr:uid="{00000000-0005-0000-0000-0000AF010000}"/>
    <cellStyle name="Notiz 2 2" xfId="310" xr:uid="{00000000-0005-0000-0000-0000B0010000}"/>
    <cellStyle name="Output 2" xfId="265" xr:uid="{00000000-0005-0000-0000-0000B1010000}"/>
    <cellStyle name="Output 2 2" xfId="416" xr:uid="{00000000-0005-0000-0000-0000B2010000}"/>
    <cellStyle name="Output 3" xfId="266" xr:uid="{00000000-0005-0000-0000-0000B3010000}"/>
    <cellStyle name="Output 4" xfId="369" xr:uid="{00000000-0005-0000-0000-0000B4010000}"/>
    <cellStyle name="Output 5" xfId="436" xr:uid="{00000000-0005-0000-0000-0000B5010000}"/>
    <cellStyle name="Output 6" xfId="136" xr:uid="{00000000-0005-0000-0000-0000B6010000}"/>
    <cellStyle name="Percent 2" xfId="9" xr:uid="{00000000-0005-0000-0000-0000B7010000}"/>
    <cellStyle name="Percent 2 2" xfId="453" xr:uid="{00000000-0005-0000-0000-0000B8010000}"/>
    <cellStyle name="Percent 3" xfId="22" xr:uid="{00000000-0005-0000-0000-0000B9010000}"/>
    <cellStyle name="Percent 4" xfId="20" xr:uid="{00000000-0005-0000-0000-0000BA010000}"/>
    <cellStyle name="Percent 4 2" xfId="51" xr:uid="{00000000-0005-0000-0000-0000BB010000}"/>
    <cellStyle name="Percent 4 2 2" xfId="90" xr:uid="{00000000-0005-0000-0000-0000BC010000}"/>
    <cellStyle name="Percent 4 3" xfId="37" xr:uid="{00000000-0005-0000-0000-0000BD010000}"/>
    <cellStyle name="Percent 4 3 2" xfId="78" xr:uid="{00000000-0005-0000-0000-0000BE010000}"/>
    <cellStyle name="Percent 4 4" xfId="65" xr:uid="{00000000-0005-0000-0000-0000BF010000}"/>
    <cellStyle name="Percent 5" xfId="29" xr:uid="{00000000-0005-0000-0000-0000C0010000}"/>
    <cellStyle name="Percent 6" xfId="44" xr:uid="{00000000-0005-0000-0000-0000C1010000}"/>
    <cellStyle name="Percent 7" xfId="373" xr:uid="{00000000-0005-0000-0000-0000C2010000}"/>
    <cellStyle name="Percent 8" xfId="7" xr:uid="{00000000-0005-0000-0000-0000C3010000}"/>
    <cellStyle name="Schlecht 2" xfId="145" xr:uid="{00000000-0005-0000-0000-0000C4010000}"/>
    <cellStyle name="Standard 2" xfId="14" xr:uid="{00000000-0005-0000-0000-0000C5010000}"/>
    <cellStyle name="Standard 2 2" xfId="24" xr:uid="{00000000-0005-0000-0000-0000C6010000}"/>
    <cellStyle name="Standard 2 2 2" xfId="53" xr:uid="{00000000-0005-0000-0000-0000C7010000}"/>
    <cellStyle name="Standard 2 2 2 2" xfId="92" xr:uid="{00000000-0005-0000-0000-0000C8010000}"/>
    <cellStyle name="Standard 2 2 3" xfId="39" xr:uid="{00000000-0005-0000-0000-0000C9010000}"/>
    <cellStyle name="Standard 2 2 3 2" xfId="80" xr:uid="{00000000-0005-0000-0000-0000CA010000}"/>
    <cellStyle name="Standard 2 2 4" xfId="312" xr:uid="{00000000-0005-0000-0000-0000CB010000}"/>
    <cellStyle name="Standard 2 2 5" xfId="67" xr:uid="{00000000-0005-0000-0000-0000CC010000}"/>
    <cellStyle name="Standard 2 3" xfId="46" xr:uid="{00000000-0005-0000-0000-0000CD010000}"/>
    <cellStyle name="Standard 2 3 2" xfId="427" xr:uid="{00000000-0005-0000-0000-0000CE010000}"/>
    <cellStyle name="Standard 2 3 3" xfId="85" xr:uid="{00000000-0005-0000-0000-0000CF010000}"/>
    <cellStyle name="Standard 2 4" xfId="38" xr:uid="{00000000-0005-0000-0000-0000D0010000}"/>
    <cellStyle name="Standard 2 4 2" xfId="79" xr:uid="{00000000-0005-0000-0000-0000D1010000}"/>
    <cellStyle name="Standard 2 5" xfId="178" xr:uid="{00000000-0005-0000-0000-0000D2010000}"/>
    <cellStyle name="Standard 2 6" xfId="60" xr:uid="{00000000-0005-0000-0000-0000D3010000}"/>
    <cellStyle name="Standard 7" xfId="17" xr:uid="{00000000-0005-0000-0000-0000D4010000}"/>
    <cellStyle name="Standard 7 2" xfId="26" xr:uid="{00000000-0005-0000-0000-0000D5010000}"/>
    <cellStyle name="Standard 7 2 2" xfId="55" xr:uid="{00000000-0005-0000-0000-0000D6010000}"/>
    <cellStyle name="Standard 7 2 2 2" xfId="94" xr:uid="{00000000-0005-0000-0000-0000D7010000}"/>
    <cellStyle name="Standard 7 2 3" xfId="41" xr:uid="{00000000-0005-0000-0000-0000D8010000}"/>
    <cellStyle name="Standard 7 2 3 2" xfId="82" xr:uid="{00000000-0005-0000-0000-0000D9010000}"/>
    <cellStyle name="Standard 7 2 4" xfId="69" xr:uid="{00000000-0005-0000-0000-0000DA010000}"/>
    <cellStyle name="Standard 7 3" xfId="48" xr:uid="{00000000-0005-0000-0000-0000DB010000}"/>
    <cellStyle name="Standard 7 3 2" xfId="87" xr:uid="{00000000-0005-0000-0000-0000DC010000}"/>
    <cellStyle name="Standard 7 4" xfId="40" xr:uid="{00000000-0005-0000-0000-0000DD010000}"/>
    <cellStyle name="Standard 7 4 2" xfId="81" xr:uid="{00000000-0005-0000-0000-0000DE010000}"/>
    <cellStyle name="Standard 7 5" xfId="62" xr:uid="{00000000-0005-0000-0000-0000DF010000}"/>
    <cellStyle name="Title 2" xfId="267" xr:uid="{00000000-0005-0000-0000-0000E0010000}"/>
    <cellStyle name="Title 2 2" xfId="417" xr:uid="{00000000-0005-0000-0000-0000E1010000}"/>
    <cellStyle name="Title 3" xfId="268" xr:uid="{00000000-0005-0000-0000-0000E2010000}"/>
    <cellStyle name="Title 4" xfId="370" xr:uid="{00000000-0005-0000-0000-0000E3010000}"/>
    <cellStyle name="Title 5" xfId="442" xr:uid="{00000000-0005-0000-0000-0000E4010000}"/>
    <cellStyle name="Title 6" xfId="137" xr:uid="{00000000-0005-0000-0000-0000E5010000}"/>
    <cellStyle name="Total 2" xfId="269" xr:uid="{00000000-0005-0000-0000-0000E6010000}"/>
    <cellStyle name="Total 2 2" xfId="418" xr:uid="{00000000-0005-0000-0000-0000E7010000}"/>
    <cellStyle name="Total 3" xfId="270" xr:uid="{00000000-0005-0000-0000-0000E8010000}"/>
    <cellStyle name="Total 4" xfId="371" xr:uid="{00000000-0005-0000-0000-0000E9010000}"/>
    <cellStyle name="Total 5" xfId="449" xr:uid="{00000000-0005-0000-0000-0000EA010000}"/>
    <cellStyle name="Total 6" xfId="138" xr:uid="{00000000-0005-0000-0000-0000EB010000}"/>
    <cellStyle name="Überschrift 1 2" xfId="185" xr:uid="{00000000-0005-0000-0000-0000EC010000}"/>
    <cellStyle name="Überschrift 2 2" xfId="155" xr:uid="{00000000-0005-0000-0000-0000ED010000}"/>
    <cellStyle name="Überschrift 3 2" xfId="186" xr:uid="{00000000-0005-0000-0000-0000EE010000}"/>
    <cellStyle name="Überschrift 4 2" xfId="154" xr:uid="{00000000-0005-0000-0000-0000EF010000}"/>
    <cellStyle name="Überschrift 5" xfId="179" xr:uid="{00000000-0005-0000-0000-0000F0010000}"/>
    <cellStyle name="Verknüpfte Zelle 2" xfId="180" xr:uid="{00000000-0005-0000-0000-0000F1010000}"/>
    <cellStyle name="Warnender Text 2" xfId="187" xr:uid="{00000000-0005-0000-0000-0000F2010000}"/>
    <cellStyle name="Warning Text 2" xfId="271" xr:uid="{00000000-0005-0000-0000-0000F3010000}"/>
    <cellStyle name="Warning Text 2 2" xfId="419" xr:uid="{00000000-0005-0000-0000-0000F4010000}"/>
    <cellStyle name="Warning Text 3" xfId="272" xr:uid="{00000000-0005-0000-0000-0000F5010000}"/>
    <cellStyle name="Warning Text 4" xfId="372" xr:uid="{00000000-0005-0000-0000-0000F6010000}"/>
    <cellStyle name="Warning Text 5" xfId="446" xr:uid="{00000000-0005-0000-0000-0000F7010000}"/>
    <cellStyle name="Warning Text 6" xfId="139" xr:uid="{00000000-0005-0000-0000-0000F8010000}"/>
    <cellStyle name="Zelle überprüfen 2" xfId="188" xr:uid="{00000000-0005-0000-0000-0000F9010000}"/>
  </cellStyles>
  <dxfs count="98">
    <dxf>
      <font>
        <color rgb="FF9C0006"/>
      </font>
      <fill>
        <patternFill>
          <bgColor rgb="FFFFC7CE"/>
        </patternFill>
      </fill>
    </dxf>
    <dxf>
      <font>
        <color rgb="FF006100"/>
      </font>
      <fill>
        <patternFill>
          <bgColor rgb="FFC6EF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border>
    </dxf>
    <dxf>
      <font>
        <color theme="0"/>
      </font>
      <fill>
        <patternFill>
          <bgColor theme="7" tint="-0.24994659260841701"/>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Medium4">
    <tableStyle name="Table Style 1" pivot="0" count="3" xr9:uid="{00000000-0011-0000-FFFF-FFFF00000000}">
      <tableStyleElement type="wholeTable" dxfId="97"/>
      <tableStyleElement type="headerRow" dxfId="96"/>
      <tableStyleElement type="firstColumnStripe" dxfId="9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anne/AppData/Local/Microsoft/Windows/Temporary%20Internet%20Files/Content.Outlook/EYFNM1UQ/Supplementary_all_results_with_re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sa/Dropbox/GiANT_Waist_Exome_paper/archive/bmi_collidar_whrsnp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ejustice1/AppData/Local/Microsoft/Windows/Temporary%20Internet%20Files/Content.Outlook/G36SXDR6/Giantexomewaist_Tables_SupplTables_15082017-Z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ej/Dropbox/GiANT_Waist_Exome_paper/Revision/WHRadjBMI_Tables_SupplTables_0309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alerieturcot/Dropbox/GIANT-EC/GiANT_Waist_Exome_paper/WHRadjBMI_Tables_SupplTables_21May2017_Tugce_m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WHRadjBMI_EA_Males&amp;Females"/>
      <sheetName val="WHRadjBMI_AllAnc_Males&amp;Female"/>
      <sheetName val="Allanc_sexcomb_meta"/>
      <sheetName val="EA_sexccomb_meta"/>
    </sheetNames>
    <sheetDataSet>
      <sheetData sheetId="0" refreshError="1">
        <row r="1">
          <cell r="A1" t="str">
            <v>rsid</v>
          </cell>
          <cell r="B1" t="str">
            <v>stratum</v>
          </cell>
          <cell r="C1" t="str">
            <v>psexhet</v>
          </cell>
          <cell r="E1" t="str">
            <v>rsid</v>
          </cell>
          <cell r="F1" t="str">
            <v>stratum</v>
          </cell>
          <cell r="G1" t="str">
            <v>psexhet</v>
          </cell>
        </row>
        <row r="2">
          <cell r="A2" t="str">
            <v>rs1034405</v>
          </cell>
          <cell r="B2" t="str">
            <v>MetaAll</v>
          </cell>
          <cell r="C2">
            <v>0.82062729999999995</v>
          </cell>
          <cell r="E2" t="str">
            <v>rs1034405</v>
          </cell>
          <cell r="F2" t="str">
            <v>MetaEA</v>
          </cell>
          <cell r="G2">
            <v>0.82062729999999995</v>
          </cell>
        </row>
        <row r="3">
          <cell r="A3" t="str">
            <v>rs1042704</v>
          </cell>
          <cell r="B3" t="str">
            <v>MetaAll</v>
          </cell>
          <cell r="C3">
            <v>1.0361999999999999E-3</v>
          </cell>
          <cell r="E3" t="str">
            <v>rs1042704</v>
          </cell>
          <cell r="F3" t="str">
            <v>MetaEA</v>
          </cell>
          <cell r="G3">
            <v>1.0361999999999999E-3</v>
          </cell>
        </row>
        <row r="4">
          <cell r="A4" t="str">
            <v>rs10494217</v>
          </cell>
          <cell r="B4" t="str">
            <v>MetaAll</v>
          </cell>
          <cell r="C4">
            <v>0.39444800000000002</v>
          </cell>
          <cell r="E4" t="str">
            <v>rs10494217</v>
          </cell>
          <cell r="F4" t="str">
            <v>MetaEA</v>
          </cell>
          <cell r="G4">
            <v>0.39444800000000002</v>
          </cell>
        </row>
        <row r="5">
          <cell r="A5" t="str">
            <v>rs1051860</v>
          </cell>
          <cell r="B5" t="str">
            <v>MetaAll</v>
          </cell>
          <cell r="C5">
            <v>0.19717090000000001</v>
          </cell>
          <cell r="E5" t="str">
            <v>rs1051860</v>
          </cell>
          <cell r="F5" t="str">
            <v>MetaEA</v>
          </cell>
          <cell r="G5">
            <v>0.19717090000000001</v>
          </cell>
        </row>
        <row r="6">
          <cell r="A6" t="str">
            <v>rs11057353</v>
          </cell>
          <cell r="B6" t="str">
            <v>MetaAll</v>
          </cell>
          <cell r="C6">
            <v>2.4200000000000002E-7</v>
          </cell>
          <cell r="E6" t="str">
            <v>rs11057353</v>
          </cell>
          <cell r="F6" t="str">
            <v>MetaEA</v>
          </cell>
          <cell r="G6">
            <v>2.4200000000000002E-7</v>
          </cell>
        </row>
        <row r="7">
          <cell r="A7" t="str">
            <v>rs11057401</v>
          </cell>
          <cell r="B7" t="str">
            <v>MetaAll</v>
          </cell>
          <cell r="C7">
            <v>2.02E-10</v>
          </cell>
          <cell r="E7" t="str">
            <v>rs11057401</v>
          </cell>
          <cell r="F7" t="str">
            <v>MetaEA</v>
          </cell>
          <cell r="G7">
            <v>2.02E-10</v>
          </cell>
        </row>
        <row r="8">
          <cell r="A8" t="str">
            <v>rs1139653</v>
          </cell>
          <cell r="B8" t="str">
            <v>MetaAll</v>
          </cell>
          <cell r="C8">
            <v>0.11603330000000001</v>
          </cell>
          <cell r="E8" t="str">
            <v>rs1139653</v>
          </cell>
          <cell r="F8" t="str">
            <v>MetaEA</v>
          </cell>
          <cell r="G8">
            <v>0.11603330000000001</v>
          </cell>
        </row>
        <row r="9">
          <cell r="A9" t="str">
            <v>rs11554159</v>
          </cell>
          <cell r="B9" t="str">
            <v>MetaAll</v>
          </cell>
          <cell r="C9">
            <v>5.2986999999999999E-3</v>
          </cell>
          <cell r="E9" t="str">
            <v>rs11554159</v>
          </cell>
          <cell r="F9" t="str">
            <v>MetaEA</v>
          </cell>
          <cell r="G9">
            <v>5.2986999999999999E-3</v>
          </cell>
        </row>
        <row r="10">
          <cell r="A10" t="str">
            <v>rs116843064</v>
          </cell>
          <cell r="B10" t="str">
            <v>MetaAll</v>
          </cell>
          <cell r="C10">
            <v>9.5500000000000002E-8</v>
          </cell>
          <cell r="E10" t="str">
            <v>rs116843064</v>
          </cell>
          <cell r="F10" t="str">
            <v>MetaEA</v>
          </cell>
          <cell r="G10">
            <v>9.5500000000000002E-8</v>
          </cell>
        </row>
        <row r="11">
          <cell r="A11" t="str">
            <v>rs12593397</v>
          </cell>
          <cell r="B11" t="str">
            <v>MetaAll</v>
          </cell>
          <cell r="C11">
            <v>2.42367E-2</v>
          </cell>
          <cell r="E11" t="str">
            <v>rs12593397</v>
          </cell>
          <cell r="F11" t="str">
            <v>MetaEA</v>
          </cell>
          <cell r="G11">
            <v>2.42367E-2</v>
          </cell>
        </row>
        <row r="12">
          <cell r="A12" t="str">
            <v>rs13303</v>
          </cell>
          <cell r="B12" t="str">
            <v>MetaAll</v>
          </cell>
          <cell r="C12">
            <v>4.59525E-2</v>
          </cell>
          <cell r="E12" t="str">
            <v>rs13303</v>
          </cell>
          <cell r="F12" t="str">
            <v>MetaEA</v>
          </cell>
          <cell r="G12">
            <v>4.59525E-2</v>
          </cell>
        </row>
        <row r="13">
          <cell r="A13" t="str">
            <v>rs1334576</v>
          </cell>
          <cell r="B13" t="str">
            <v>MetaAll</v>
          </cell>
          <cell r="C13">
            <v>0.2155464</v>
          </cell>
          <cell r="E13" t="str">
            <v>rs1334576</v>
          </cell>
          <cell r="F13" t="str">
            <v>MetaEA</v>
          </cell>
          <cell r="G13">
            <v>0.2155464</v>
          </cell>
        </row>
        <row r="14">
          <cell r="A14" t="str">
            <v>rs138315382</v>
          </cell>
          <cell r="B14" t="str">
            <v>MetaAll</v>
          </cell>
          <cell r="C14">
            <v>0.10897859999999999</v>
          </cell>
          <cell r="E14" t="str">
            <v>rs138315382</v>
          </cell>
          <cell r="F14" t="str">
            <v>MetaEA</v>
          </cell>
          <cell r="G14">
            <v>0.10897859999999999</v>
          </cell>
        </row>
        <row r="15">
          <cell r="A15" t="str">
            <v>rs139745911</v>
          </cell>
          <cell r="B15" t="str">
            <v>MetaAll</v>
          </cell>
          <cell r="C15">
            <v>2.2479999999999999E-4</v>
          </cell>
          <cell r="E15" t="str">
            <v>rs139745911</v>
          </cell>
          <cell r="F15" t="str">
            <v>MetaEA</v>
          </cell>
          <cell r="G15">
            <v>2.2479999999999999E-4</v>
          </cell>
        </row>
        <row r="16">
          <cell r="A16" t="str">
            <v>rs139745911</v>
          </cell>
          <cell r="B16" t="str">
            <v>MetaAll</v>
          </cell>
          <cell r="C16">
            <v>2.2479999999999999E-4</v>
          </cell>
          <cell r="E16" t="str">
            <v>rs139745911</v>
          </cell>
          <cell r="F16" t="str">
            <v>MetaEA</v>
          </cell>
          <cell r="G16">
            <v>2.2479999999999999E-4</v>
          </cell>
        </row>
        <row r="17">
          <cell r="A17" t="str">
            <v>rs141054345</v>
          </cell>
          <cell r="B17" t="str">
            <v>MetaAll</v>
          </cell>
          <cell r="C17">
            <v>0.19714690000000001</v>
          </cell>
          <cell r="E17" t="str">
            <v>rs141054345</v>
          </cell>
          <cell r="F17" t="str">
            <v>MetaEA</v>
          </cell>
          <cell r="G17">
            <v>0.19714690000000001</v>
          </cell>
        </row>
        <row r="18">
          <cell r="A18" t="str">
            <v>rs141845046</v>
          </cell>
          <cell r="B18" t="str">
            <v>MetaAll</v>
          </cell>
          <cell r="C18">
            <v>4.4599999999999996E-6</v>
          </cell>
          <cell r="E18" t="str">
            <v>rs141845046</v>
          </cell>
          <cell r="F18" t="str">
            <v>MetaEA</v>
          </cell>
          <cell r="G18">
            <v>4.4599999999999996E-6</v>
          </cell>
        </row>
        <row r="19">
          <cell r="A19" t="str">
            <v>rs142342609</v>
          </cell>
          <cell r="B19" t="str">
            <v>MetaAll</v>
          </cell>
          <cell r="C19">
            <v>1.6786499999999999E-2</v>
          </cell>
          <cell r="E19" t="str">
            <v>rs142342609</v>
          </cell>
          <cell r="F19" t="str">
            <v>MetaEA</v>
          </cell>
          <cell r="G19">
            <v>1.6786499999999999E-2</v>
          </cell>
        </row>
        <row r="20">
          <cell r="A20" t="str">
            <v>rs144098855</v>
          </cell>
          <cell r="B20" t="str">
            <v>MetaAll</v>
          </cell>
          <cell r="C20">
            <v>0.96050869999999999</v>
          </cell>
          <cell r="E20" t="str">
            <v>rs144098855</v>
          </cell>
          <cell r="F20" t="str">
            <v>MetaEA</v>
          </cell>
          <cell r="G20">
            <v>0.96050869999999999</v>
          </cell>
        </row>
        <row r="21">
          <cell r="A21" t="str">
            <v>rs145878042</v>
          </cell>
          <cell r="B21" t="str">
            <v>MetaAll</v>
          </cell>
          <cell r="C21">
            <v>1.01402E-2</v>
          </cell>
          <cell r="E21" t="str">
            <v>rs145878042</v>
          </cell>
          <cell r="F21" t="str">
            <v>MetaEA</v>
          </cell>
          <cell r="G21">
            <v>1.01402E-2</v>
          </cell>
        </row>
        <row r="22">
          <cell r="A22" t="str">
            <v>rs146605392</v>
          </cell>
          <cell r="B22" t="str">
            <v>MetaAll</v>
          </cell>
          <cell r="C22">
            <v>1.5694000000000001E-3</v>
          </cell>
          <cell r="E22" t="str">
            <v>rs146605392</v>
          </cell>
          <cell r="F22" t="str">
            <v>MetaEA</v>
          </cell>
          <cell r="G22">
            <v>1.5694000000000001E-3</v>
          </cell>
        </row>
        <row r="23">
          <cell r="A23" t="str">
            <v>rs146860658</v>
          </cell>
          <cell r="B23" t="str">
            <v>MetaAll</v>
          </cell>
          <cell r="C23">
            <v>0.62699170000000004</v>
          </cell>
          <cell r="E23" t="str">
            <v>rs146860658</v>
          </cell>
          <cell r="F23" t="str">
            <v>MetaEA</v>
          </cell>
          <cell r="G23">
            <v>0.62699170000000004</v>
          </cell>
        </row>
        <row r="24">
          <cell r="A24" t="str">
            <v>rs148108950</v>
          </cell>
          <cell r="B24" t="str">
            <v>MetaAll</v>
          </cell>
          <cell r="C24">
            <v>5.9699999999999996E-7</v>
          </cell>
          <cell r="E24" t="str">
            <v>rs148108950</v>
          </cell>
          <cell r="F24" t="str">
            <v>MetaEA</v>
          </cell>
          <cell r="G24">
            <v>5.9699999999999996E-7</v>
          </cell>
        </row>
        <row r="25">
          <cell r="A25" t="str">
            <v>rs148151659</v>
          </cell>
          <cell r="B25" t="str">
            <v>MetaAll</v>
          </cell>
          <cell r="C25">
            <v>6.1260000000000004E-3</v>
          </cell>
          <cell r="E25" t="str">
            <v>rs148151659</v>
          </cell>
          <cell r="F25" t="str">
            <v>MetaEA</v>
          </cell>
          <cell r="G25">
            <v>6.1260000000000004E-3</v>
          </cell>
        </row>
        <row r="26">
          <cell r="A26" t="str">
            <v>rs16931555</v>
          </cell>
          <cell r="B26" t="str">
            <v>MetaAll</v>
          </cell>
          <cell r="C26">
            <v>0.10822320000000001</v>
          </cell>
          <cell r="E26" t="str">
            <v>rs16931555</v>
          </cell>
          <cell r="F26" t="str">
            <v>MetaEA</v>
          </cell>
          <cell r="G26">
            <v>0.10822320000000001</v>
          </cell>
        </row>
        <row r="27">
          <cell r="A27" t="str">
            <v>rs1715919</v>
          </cell>
          <cell r="B27" t="str">
            <v>MetaAll</v>
          </cell>
          <cell r="C27">
            <v>1.0301599999999999E-2</v>
          </cell>
          <cell r="E27" t="str">
            <v>rs1715919</v>
          </cell>
          <cell r="F27" t="str">
            <v>MetaEA</v>
          </cell>
          <cell r="G27">
            <v>1.0301599999999999E-2</v>
          </cell>
        </row>
        <row r="28">
          <cell r="A28" t="str">
            <v>rs17417407</v>
          </cell>
          <cell r="B28" t="str">
            <v>MetaAll</v>
          </cell>
          <cell r="C28">
            <v>0.8241965</v>
          </cell>
          <cell r="E28" t="str">
            <v>rs17417407</v>
          </cell>
          <cell r="F28" t="str">
            <v>MetaEA</v>
          </cell>
          <cell r="G28">
            <v>0.8241965</v>
          </cell>
        </row>
        <row r="29">
          <cell r="A29" t="str">
            <v>rs17677991</v>
          </cell>
          <cell r="B29" t="str">
            <v>MetaAll</v>
          </cell>
          <cell r="C29">
            <v>0.4479823</v>
          </cell>
          <cell r="E29" t="str">
            <v>rs17677991</v>
          </cell>
          <cell r="F29" t="str">
            <v>MetaEA</v>
          </cell>
          <cell r="G29">
            <v>0.4479823</v>
          </cell>
        </row>
        <row r="30">
          <cell r="A30" t="str">
            <v>rs1798192</v>
          </cell>
          <cell r="B30" t="str">
            <v>MetaAll</v>
          </cell>
          <cell r="C30">
            <v>1.4585799999999999E-2</v>
          </cell>
          <cell r="E30" t="str">
            <v>rs1798192</v>
          </cell>
          <cell r="F30" t="str">
            <v>MetaEA</v>
          </cell>
          <cell r="G30">
            <v>1.4585799999999999E-2</v>
          </cell>
        </row>
        <row r="31">
          <cell r="A31" t="str">
            <v>rs1800069</v>
          </cell>
          <cell r="B31" t="str">
            <v>MetaAll</v>
          </cell>
          <cell r="C31" t="str">
            <v>NA</v>
          </cell>
          <cell r="E31" t="str">
            <v>rs1800069</v>
          </cell>
          <cell r="F31" t="str">
            <v>MetaEA</v>
          </cell>
          <cell r="G31" t="str">
            <v>NA</v>
          </cell>
        </row>
        <row r="32">
          <cell r="A32" t="str">
            <v>rs1804080</v>
          </cell>
          <cell r="B32" t="str">
            <v>MetaAll</v>
          </cell>
          <cell r="C32">
            <v>1.0900000000000001E-5</v>
          </cell>
          <cell r="E32" t="str">
            <v>rs1804080</v>
          </cell>
          <cell r="F32" t="str">
            <v>MetaEA</v>
          </cell>
          <cell r="G32">
            <v>1.0900000000000001E-5</v>
          </cell>
        </row>
        <row r="33">
          <cell r="A33" t="str">
            <v>rs1892172</v>
          </cell>
          <cell r="B33" t="str">
            <v>MetaAll</v>
          </cell>
          <cell r="C33">
            <v>1.5700000000000002E-8</v>
          </cell>
          <cell r="E33" t="str">
            <v>rs1892172</v>
          </cell>
          <cell r="F33" t="str">
            <v>MetaEA</v>
          </cell>
          <cell r="G33">
            <v>1.5700000000000002E-8</v>
          </cell>
        </row>
        <row r="34">
          <cell r="A34" t="str">
            <v>rs1935</v>
          </cell>
          <cell r="B34" t="str">
            <v>MetaAll</v>
          </cell>
          <cell r="C34">
            <v>0.10112350000000001</v>
          </cell>
          <cell r="E34" t="str">
            <v>rs1935</v>
          </cell>
          <cell r="F34" t="str">
            <v>MetaEA</v>
          </cell>
          <cell r="G34">
            <v>0.10112350000000001</v>
          </cell>
        </row>
        <row r="35">
          <cell r="A35" t="str">
            <v>rs1966265</v>
          </cell>
          <cell r="B35" t="str">
            <v>MetaAll</v>
          </cell>
          <cell r="C35">
            <v>0.35573179999999999</v>
          </cell>
          <cell r="E35" t="str">
            <v>rs1966265</v>
          </cell>
          <cell r="F35" t="str">
            <v>MetaEA</v>
          </cell>
          <cell r="G35">
            <v>0.35573179999999999</v>
          </cell>
        </row>
        <row r="36">
          <cell r="A36" t="str">
            <v>rs200105333</v>
          </cell>
          <cell r="B36" t="str">
            <v>MetaAll</v>
          </cell>
          <cell r="C36">
            <v>0.3685716</v>
          </cell>
          <cell r="E36" t="str">
            <v>rs200105333</v>
          </cell>
          <cell r="F36" t="str">
            <v>MetaEA</v>
          </cell>
          <cell r="G36">
            <v>0.3685716</v>
          </cell>
        </row>
        <row r="37">
          <cell r="A37" t="str">
            <v>rs201010410</v>
          </cell>
          <cell r="B37" t="str">
            <v>MetaAll</v>
          </cell>
          <cell r="C37">
            <v>0.53194810000000003</v>
          </cell>
          <cell r="E37" t="str">
            <v>rs201010410</v>
          </cell>
          <cell r="F37" t="str">
            <v>MetaEA</v>
          </cell>
          <cell r="G37">
            <v>0.53194810000000003</v>
          </cell>
        </row>
        <row r="38">
          <cell r="A38" t="str">
            <v>rs224331</v>
          </cell>
          <cell r="B38" t="str">
            <v>MetaAll</v>
          </cell>
          <cell r="C38">
            <v>2.1478999999999999E-3</v>
          </cell>
          <cell r="E38" t="str">
            <v>rs224331</v>
          </cell>
          <cell r="F38" t="str">
            <v>MetaEA</v>
          </cell>
          <cell r="G38">
            <v>2.1478999999999999E-3</v>
          </cell>
        </row>
        <row r="39">
          <cell r="A39" t="str">
            <v>rs2255703</v>
          </cell>
          <cell r="B39" t="str">
            <v>MetaAll</v>
          </cell>
          <cell r="C39">
            <v>4.6924000000000002E-3</v>
          </cell>
          <cell r="E39" t="str">
            <v>rs2255703</v>
          </cell>
          <cell r="F39" t="str">
            <v>MetaEA</v>
          </cell>
          <cell r="G39">
            <v>4.6924000000000002E-3</v>
          </cell>
        </row>
        <row r="40">
          <cell r="A40" t="str">
            <v>rs2276853</v>
          </cell>
          <cell r="B40" t="str">
            <v>MetaAll</v>
          </cell>
          <cell r="C40">
            <v>0.3662861</v>
          </cell>
          <cell r="E40" t="str">
            <v>rs2276853</v>
          </cell>
          <cell r="F40" t="str">
            <v>MetaEA</v>
          </cell>
          <cell r="G40">
            <v>0.3662861</v>
          </cell>
        </row>
        <row r="41">
          <cell r="A41" t="str">
            <v>rs2276853</v>
          </cell>
          <cell r="B41" t="str">
            <v>MetaAll</v>
          </cell>
          <cell r="C41">
            <v>0.3662861</v>
          </cell>
          <cell r="E41" t="str">
            <v>rs2276853</v>
          </cell>
          <cell r="F41" t="str">
            <v>MetaEA</v>
          </cell>
          <cell r="G41">
            <v>0.3662861</v>
          </cell>
        </row>
        <row r="42">
          <cell r="A42" t="str">
            <v>rs2287922</v>
          </cell>
          <cell r="B42" t="str">
            <v>MetaAll</v>
          </cell>
          <cell r="C42">
            <v>6.0392500000000002E-2</v>
          </cell>
          <cell r="E42" t="str">
            <v>rs2287922</v>
          </cell>
          <cell r="F42" t="str">
            <v>MetaEA</v>
          </cell>
          <cell r="G42">
            <v>6.0392500000000002E-2</v>
          </cell>
        </row>
        <row r="43">
          <cell r="A43" t="str">
            <v>rs2303361</v>
          </cell>
          <cell r="B43" t="str">
            <v>MetaAll</v>
          </cell>
          <cell r="C43">
            <v>1.6888400000000001E-2</v>
          </cell>
          <cell r="E43" t="str">
            <v>rs2303361</v>
          </cell>
          <cell r="F43" t="str">
            <v>MetaEA</v>
          </cell>
          <cell r="G43">
            <v>1.6888400000000001E-2</v>
          </cell>
        </row>
        <row r="44">
          <cell r="A44" t="str">
            <v>rs2307019</v>
          </cell>
          <cell r="B44" t="str">
            <v>MetaAll</v>
          </cell>
          <cell r="C44">
            <v>5.1377899999999997E-2</v>
          </cell>
          <cell r="E44" t="str">
            <v>rs2307019</v>
          </cell>
          <cell r="F44" t="str">
            <v>MetaEA</v>
          </cell>
          <cell r="G44">
            <v>5.1377899999999997E-2</v>
          </cell>
        </row>
        <row r="45">
          <cell r="A45" t="str">
            <v>rs2307019</v>
          </cell>
          <cell r="B45" t="str">
            <v>MetaAll</v>
          </cell>
          <cell r="C45">
            <v>5.1377899999999997E-2</v>
          </cell>
          <cell r="E45" t="str">
            <v>rs2307019</v>
          </cell>
          <cell r="F45" t="str">
            <v>MetaEA</v>
          </cell>
          <cell r="G45">
            <v>5.1377899999999997E-2</v>
          </cell>
        </row>
        <row r="46">
          <cell r="A46" t="str">
            <v>rs2625973</v>
          </cell>
          <cell r="B46" t="str">
            <v>MetaAll</v>
          </cell>
          <cell r="C46">
            <v>3.8099999999999999E-4</v>
          </cell>
          <cell r="E46" t="str">
            <v>rs2625973</v>
          </cell>
          <cell r="F46" t="str">
            <v>MetaEA</v>
          </cell>
          <cell r="G46">
            <v>3.8099999999999999E-4</v>
          </cell>
        </row>
        <row r="47">
          <cell r="A47" t="str">
            <v>rs284860</v>
          </cell>
          <cell r="B47" t="str">
            <v>MetaAll</v>
          </cell>
          <cell r="C47">
            <v>2.1765E-3</v>
          </cell>
          <cell r="E47" t="str">
            <v>rs284860</v>
          </cell>
          <cell r="F47" t="str">
            <v>MetaEA</v>
          </cell>
          <cell r="G47">
            <v>2.1765E-3</v>
          </cell>
        </row>
        <row r="48">
          <cell r="A48" t="str">
            <v>rs34934281</v>
          </cell>
          <cell r="B48" t="str">
            <v>MetaAll</v>
          </cell>
          <cell r="C48">
            <v>4.8E-8</v>
          </cell>
          <cell r="E48" t="str">
            <v>rs34934281</v>
          </cell>
          <cell r="F48" t="str">
            <v>MetaEA</v>
          </cell>
          <cell r="G48">
            <v>4.8E-8</v>
          </cell>
        </row>
        <row r="49">
          <cell r="A49" t="str">
            <v>rs35169799</v>
          </cell>
          <cell r="B49" t="str">
            <v>MetaAll</v>
          </cell>
          <cell r="C49">
            <v>8.6500000000000002E-5</v>
          </cell>
          <cell r="E49" t="str">
            <v>rs35169799</v>
          </cell>
          <cell r="F49" t="str">
            <v>MetaEA</v>
          </cell>
          <cell r="G49">
            <v>8.6500000000000002E-5</v>
          </cell>
        </row>
        <row r="50">
          <cell r="A50" t="str">
            <v>rs35332062</v>
          </cell>
          <cell r="B50" t="str">
            <v>MetaAll</v>
          </cell>
          <cell r="C50">
            <v>0.22592799999999999</v>
          </cell>
          <cell r="E50" t="str">
            <v>rs35332062</v>
          </cell>
          <cell r="F50" t="str">
            <v>MetaEA</v>
          </cell>
          <cell r="G50">
            <v>0.22592799999999999</v>
          </cell>
        </row>
        <row r="51">
          <cell r="A51" t="str">
            <v>rs35433555</v>
          </cell>
          <cell r="B51" t="str">
            <v>MetaAll</v>
          </cell>
          <cell r="C51">
            <v>0.79539950000000004</v>
          </cell>
          <cell r="E51" t="str">
            <v>rs35433555</v>
          </cell>
          <cell r="F51" t="str">
            <v>MetaEA</v>
          </cell>
          <cell r="G51">
            <v>0.79539950000000004</v>
          </cell>
        </row>
        <row r="52">
          <cell r="A52" t="str">
            <v>rs35515638</v>
          </cell>
          <cell r="B52" t="str">
            <v>MetaAll</v>
          </cell>
          <cell r="C52">
            <v>9.4287099999999999E-2</v>
          </cell>
          <cell r="E52" t="str">
            <v>rs35515638</v>
          </cell>
          <cell r="F52" t="str">
            <v>MetaEA</v>
          </cell>
          <cell r="G52">
            <v>9.4287099999999999E-2</v>
          </cell>
        </row>
        <row r="53">
          <cell r="A53" t="str">
            <v>rs3617</v>
          </cell>
          <cell r="B53" t="str">
            <v>MetaAll</v>
          </cell>
          <cell r="C53">
            <v>0.33803650000000002</v>
          </cell>
          <cell r="E53" t="str">
            <v>rs3617</v>
          </cell>
          <cell r="F53" t="str">
            <v>MetaEA</v>
          </cell>
          <cell r="G53">
            <v>0.33803650000000002</v>
          </cell>
        </row>
        <row r="54">
          <cell r="A54" t="str">
            <v>rs3733526</v>
          </cell>
          <cell r="B54" t="str">
            <v>MetaAll</v>
          </cell>
          <cell r="C54">
            <v>1.24475E-2</v>
          </cell>
          <cell r="E54" t="str">
            <v>rs3733526</v>
          </cell>
          <cell r="F54" t="str">
            <v>MetaEA</v>
          </cell>
          <cell r="G54">
            <v>1.24475E-2</v>
          </cell>
        </row>
        <row r="55">
          <cell r="A55" t="str">
            <v>rs3734447</v>
          </cell>
          <cell r="B55" t="str">
            <v>MetaAll</v>
          </cell>
          <cell r="C55">
            <v>0.74356230000000001</v>
          </cell>
          <cell r="E55" t="str">
            <v>rs3734447</v>
          </cell>
          <cell r="F55" t="str">
            <v>MetaEA</v>
          </cell>
          <cell r="G55">
            <v>0.74356230000000001</v>
          </cell>
        </row>
        <row r="56">
          <cell r="A56" t="str">
            <v>rs3734447</v>
          </cell>
          <cell r="B56" t="str">
            <v>MetaAll</v>
          </cell>
          <cell r="C56">
            <v>0.74356230000000001</v>
          </cell>
          <cell r="E56" t="str">
            <v>rs3734447</v>
          </cell>
          <cell r="F56" t="str">
            <v>MetaEA</v>
          </cell>
          <cell r="G56">
            <v>0.74356230000000001</v>
          </cell>
        </row>
        <row r="57">
          <cell r="A57" t="str">
            <v>rs3747579</v>
          </cell>
          <cell r="B57" t="str">
            <v>MetaAll</v>
          </cell>
          <cell r="C57">
            <v>5.0311599999999998E-2</v>
          </cell>
          <cell r="E57" t="str">
            <v>rs3747579</v>
          </cell>
          <cell r="F57" t="str">
            <v>MetaEA</v>
          </cell>
          <cell r="G57">
            <v>5.0311599999999998E-2</v>
          </cell>
        </row>
        <row r="58">
          <cell r="A58" t="str">
            <v>rs3764002</v>
          </cell>
          <cell r="B58" t="str">
            <v>MetaAll</v>
          </cell>
          <cell r="C58">
            <v>0.5513747</v>
          </cell>
          <cell r="E58" t="str">
            <v>rs3764002</v>
          </cell>
          <cell r="F58" t="str">
            <v>MetaEA</v>
          </cell>
          <cell r="G58">
            <v>0.5513747</v>
          </cell>
        </row>
        <row r="59">
          <cell r="A59" t="str">
            <v>rs3810818</v>
          </cell>
          <cell r="B59" t="str">
            <v>MetaAll</v>
          </cell>
          <cell r="C59">
            <v>0.21663940000000001</v>
          </cell>
          <cell r="E59" t="str">
            <v>rs3810818</v>
          </cell>
          <cell r="F59" t="str">
            <v>MetaEA</v>
          </cell>
          <cell r="G59">
            <v>0.21663940000000001</v>
          </cell>
        </row>
        <row r="60">
          <cell r="A60" t="str">
            <v>rs3810818</v>
          </cell>
          <cell r="B60" t="str">
            <v>MetaAll</v>
          </cell>
          <cell r="C60">
            <v>0.21663940000000001</v>
          </cell>
          <cell r="E60" t="str">
            <v>rs3810818</v>
          </cell>
          <cell r="F60" t="str">
            <v>MetaEA</v>
          </cell>
          <cell r="G60">
            <v>0.21663940000000001</v>
          </cell>
        </row>
        <row r="61">
          <cell r="A61" t="str">
            <v>rs3810818_rec</v>
          </cell>
          <cell r="B61" t="str">
            <v>MetaAll</v>
          </cell>
          <cell r="C61">
            <v>0.1379717</v>
          </cell>
          <cell r="E61" t="str">
            <v>rs3810818_rec</v>
          </cell>
          <cell r="F61" t="str">
            <v>MetaEA</v>
          </cell>
          <cell r="G61">
            <v>0.1379717</v>
          </cell>
        </row>
        <row r="62">
          <cell r="A62" t="str">
            <v>rs3812316</v>
          </cell>
          <cell r="B62" t="str">
            <v>MetaAll</v>
          </cell>
          <cell r="C62">
            <v>0.1079266</v>
          </cell>
          <cell r="E62" t="str">
            <v>rs3812316</v>
          </cell>
          <cell r="F62" t="str">
            <v>MetaEA</v>
          </cell>
          <cell r="G62">
            <v>0.1079266</v>
          </cell>
        </row>
        <row r="63">
          <cell r="A63" t="str">
            <v>rs3851294</v>
          </cell>
          <cell r="B63" t="str">
            <v>MetaAll</v>
          </cell>
          <cell r="C63">
            <v>3.0799999999999998E-8</v>
          </cell>
          <cell r="E63" t="str">
            <v>rs3851294</v>
          </cell>
          <cell r="F63" t="str">
            <v>MetaEA</v>
          </cell>
          <cell r="G63">
            <v>3.0799999999999998E-8</v>
          </cell>
        </row>
        <row r="64">
          <cell r="A64" t="str">
            <v>rs3959569</v>
          </cell>
          <cell r="B64" t="str">
            <v>MetaAll</v>
          </cell>
          <cell r="C64">
            <v>9.1724200000000006E-2</v>
          </cell>
          <cell r="E64" t="str">
            <v>rs3959569</v>
          </cell>
          <cell r="F64" t="str">
            <v>MetaEA</v>
          </cell>
          <cell r="G64">
            <v>9.1724200000000006E-2</v>
          </cell>
        </row>
        <row r="65">
          <cell r="A65" t="str">
            <v>rs4082155</v>
          </cell>
          <cell r="B65" t="str">
            <v>MetaAll</v>
          </cell>
          <cell r="C65">
            <v>0.18558140000000001</v>
          </cell>
          <cell r="E65" t="str">
            <v>rs4082155</v>
          </cell>
          <cell r="F65" t="str">
            <v>MetaEA</v>
          </cell>
          <cell r="G65">
            <v>0.18558140000000001</v>
          </cell>
        </row>
        <row r="66">
          <cell r="A66" t="str">
            <v>rs4668909</v>
          </cell>
          <cell r="B66" t="str">
            <v>MetaAll</v>
          </cell>
          <cell r="C66">
            <v>6.0218599999999997E-2</v>
          </cell>
          <cell r="E66" t="str">
            <v>rs4668909</v>
          </cell>
          <cell r="F66" t="str">
            <v>MetaEA</v>
          </cell>
          <cell r="G66">
            <v>6.0218599999999997E-2</v>
          </cell>
        </row>
        <row r="67">
          <cell r="A67" t="str">
            <v>rs4911494</v>
          </cell>
          <cell r="B67" t="str">
            <v>MetaAll</v>
          </cell>
          <cell r="C67">
            <v>1.2145000000000001E-3</v>
          </cell>
          <cell r="E67" t="str">
            <v>rs4911494</v>
          </cell>
          <cell r="F67" t="str">
            <v>MetaEA</v>
          </cell>
          <cell r="G67">
            <v>1.2145000000000001E-3</v>
          </cell>
        </row>
        <row r="68">
          <cell r="A68" t="str">
            <v>rs55920843</v>
          </cell>
          <cell r="B68" t="str">
            <v>MetaAll</v>
          </cell>
          <cell r="C68">
            <v>2.37E-8</v>
          </cell>
          <cell r="E68" t="str">
            <v>rs55920843</v>
          </cell>
          <cell r="F68" t="str">
            <v>MetaEA</v>
          </cell>
          <cell r="G68">
            <v>2.37E-8</v>
          </cell>
        </row>
        <row r="69">
          <cell r="A69" t="str">
            <v>rs58843120</v>
          </cell>
          <cell r="B69" t="str">
            <v>MetaAll</v>
          </cell>
          <cell r="C69">
            <v>0.43396980000000002</v>
          </cell>
          <cell r="E69" t="str">
            <v>rs58843120</v>
          </cell>
          <cell r="F69" t="str">
            <v>MetaEA</v>
          </cell>
          <cell r="G69">
            <v>0.43396980000000002</v>
          </cell>
        </row>
        <row r="70">
          <cell r="A70" t="str">
            <v>rs61730011</v>
          </cell>
          <cell r="B70" t="str">
            <v>MetaAll</v>
          </cell>
          <cell r="C70">
            <v>0.35698629999999998</v>
          </cell>
          <cell r="E70" t="str">
            <v>rs61730011</v>
          </cell>
          <cell r="F70" t="str">
            <v>MetaEA</v>
          </cell>
          <cell r="G70">
            <v>0.35698629999999998</v>
          </cell>
        </row>
        <row r="71">
          <cell r="A71" t="str">
            <v>rs61740794</v>
          </cell>
          <cell r="B71" t="str">
            <v>MetaAll</v>
          </cell>
          <cell r="C71">
            <v>0.72522679999999995</v>
          </cell>
          <cell r="E71" t="str">
            <v>rs61740794</v>
          </cell>
          <cell r="F71" t="str">
            <v>MetaEA</v>
          </cell>
          <cell r="G71">
            <v>0.72522679999999995</v>
          </cell>
        </row>
        <row r="72">
          <cell r="A72" t="str">
            <v>rs62266958</v>
          </cell>
          <cell r="B72" t="str">
            <v>MetaAll</v>
          </cell>
          <cell r="C72">
            <v>6.8090000000000002E-4</v>
          </cell>
          <cell r="E72" t="str">
            <v>rs62266958</v>
          </cell>
          <cell r="F72" t="str">
            <v>MetaEA</v>
          </cell>
          <cell r="G72">
            <v>6.8090000000000002E-4</v>
          </cell>
        </row>
        <row r="73">
          <cell r="A73" t="str">
            <v>rs7114037</v>
          </cell>
          <cell r="B73" t="str">
            <v>MetaAll</v>
          </cell>
          <cell r="C73">
            <v>0.24600459999999999</v>
          </cell>
          <cell r="E73" t="str">
            <v>rs7114037</v>
          </cell>
          <cell r="F73" t="str">
            <v>MetaEA</v>
          </cell>
          <cell r="G73">
            <v>0.24600459999999999</v>
          </cell>
        </row>
        <row r="74">
          <cell r="A74" t="str">
            <v>rs7537203</v>
          </cell>
          <cell r="B74" t="str">
            <v>MetaAll</v>
          </cell>
          <cell r="C74">
            <v>0.55715760000000003</v>
          </cell>
          <cell r="E74" t="str">
            <v>rs7537203</v>
          </cell>
          <cell r="F74" t="str">
            <v>MetaEA</v>
          </cell>
          <cell r="G74">
            <v>0.55715760000000003</v>
          </cell>
        </row>
        <row r="75">
          <cell r="A75" t="str">
            <v>rs7586970</v>
          </cell>
          <cell r="B75" t="str">
            <v>MetaAll</v>
          </cell>
          <cell r="C75">
            <v>0.84354169999999995</v>
          </cell>
          <cell r="E75" t="str">
            <v>rs7586970</v>
          </cell>
          <cell r="F75" t="str">
            <v>MetaEA</v>
          </cell>
          <cell r="G75">
            <v>0.84354169999999995</v>
          </cell>
        </row>
        <row r="76">
          <cell r="A76" t="str">
            <v>rs7607980</v>
          </cell>
          <cell r="B76" t="str">
            <v>MetaAll</v>
          </cell>
          <cell r="C76">
            <v>0</v>
          </cell>
          <cell r="E76" t="str">
            <v>rs7607980</v>
          </cell>
          <cell r="F76" t="str">
            <v>MetaEA</v>
          </cell>
          <cell r="G76">
            <v>0</v>
          </cell>
        </row>
        <row r="77">
          <cell r="A77" t="str">
            <v>rs7657817</v>
          </cell>
          <cell r="B77" t="str">
            <v>MetaAll</v>
          </cell>
          <cell r="C77">
            <v>1.115E-4</v>
          </cell>
          <cell r="E77" t="str">
            <v>rs7657817</v>
          </cell>
          <cell r="F77" t="str">
            <v>MetaEA</v>
          </cell>
          <cell r="G77">
            <v>1.115E-4</v>
          </cell>
        </row>
        <row r="78">
          <cell r="A78" t="str">
            <v>rs8052655</v>
          </cell>
          <cell r="B78" t="str">
            <v>MetaAll</v>
          </cell>
          <cell r="C78">
            <v>0.54536180000000001</v>
          </cell>
          <cell r="E78" t="str">
            <v>rs8052655</v>
          </cell>
          <cell r="F78" t="str">
            <v>MetaEA</v>
          </cell>
          <cell r="G78">
            <v>0.54536180000000001</v>
          </cell>
        </row>
        <row r="79">
          <cell r="A79" t="str">
            <v>rs874628</v>
          </cell>
          <cell r="B79" t="str">
            <v>MetaAll</v>
          </cell>
          <cell r="C79">
            <v>3.7989999999999999E-3</v>
          </cell>
          <cell r="E79" t="str">
            <v>rs874628</v>
          </cell>
          <cell r="F79" t="str">
            <v>MetaEA</v>
          </cell>
          <cell r="G79">
            <v>3.7989999999999999E-3</v>
          </cell>
        </row>
        <row r="80">
          <cell r="A80" t="str">
            <v>rs897453</v>
          </cell>
          <cell r="B80" t="str">
            <v>MetaAll</v>
          </cell>
          <cell r="C80">
            <v>0.73674810000000002</v>
          </cell>
          <cell r="E80" t="str">
            <v>rs897453</v>
          </cell>
          <cell r="F80" t="str">
            <v>MetaEA</v>
          </cell>
          <cell r="G80">
            <v>0.73674810000000002</v>
          </cell>
        </row>
        <row r="81">
          <cell r="A81" t="str">
            <v>rs9469913</v>
          </cell>
          <cell r="B81" t="str">
            <v>MetaAll</v>
          </cell>
          <cell r="C81">
            <v>0.40685890000000002</v>
          </cell>
          <cell r="E81" t="str">
            <v>rs9469913</v>
          </cell>
          <cell r="F81" t="str">
            <v>MetaEA</v>
          </cell>
          <cell r="G81">
            <v>0.40685890000000002</v>
          </cell>
        </row>
        <row r="82">
          <cell r="A82" t="str">
            <v>rs9922085</v>
          </cell>
          <cell r="B82" t="str">
            <v>MetaAll</v>
          </cell>
          <cell r="C82">
            <v>0.77889039999999998</v>
          </cell>
          <cell r="E82" t="str">
            <v>rs9922085</v>
          </cell>
          <cell r="F82" t="str">
            <v>MetaEA</v>
          </cell>
          <cell r="G82">
            <v>0.77889039999999998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3. Collider_bias"/>
      <sheetName val="bmi_collidar_allanc_all_whrsnps"/>
      <sheetName val="bmi_collidar_ea_all_whrsnps"/>
      <sheetName val="bmi_collidar_allanc_men_whrsnps"/>
      <sheetName val="bmi_collidar_allanc_women_whrsn"/>
    </sheetNames>
    <sheetDataSet>
      <sheetData sheetId="0"/>
      <sheetData sheetId="1">
        <row r="1">
          <cell r="C1" t="str">
            <v>rs_dbSNP138</v>
          </cell>
          <cell r="D1" t="str">
            <v>REF</v>
          </cell>
          <cell r="E1" t="str">
            <v>ALT</v>
          </cell>
          <cell r="F1" t="str">
            <v>N</v>
          </cell>
        </row>
        <row r="2">
          <cell r="C2" t="str">
            <v>rs13303010</v>
          </cell>
          <cell r="D2" t="str">
            <v>G</v>
          </cell>
          <cell r="E2" t="str">
            <v>A</v>
          </cell>
          <cell r="F2">
            <v>502511</v>
          </cell>
        </row>
        <row r="3">
          <cell r="C3" t="str">
            <v>rs61730011</v>
          </cell>
          <cell r="D3" t="str">
            <v>A</v>
          </cell>
          <cell r="E3" t="str">
            <v>C</v>
          </cell>
          <cell r="F3">
            <v>495984</v>
          </cell>
        </row>
        <row r="4">
          <cell r="C4" t="str">
            <v>rs10494217</v>
          </cell>
          <cell r="D4" t="str">
            <v>G</v>
          </cell>
          <cell r="E4" t="str">
            <v>T</v>
          </cell>
          <cell r="F4">
            <v>510510</v>
          </cell>
        </row>
        <row r="5">
          <cell r="C5" t="str">
            <v>rs141845046</v>
          </cell>
          <cell r="D5" t="str">
            <v>C</v>
          </cell>
          <cell r="E5" t="str">
            <v>T</v>
          </cell>
          <cell r="F5">
            <v>526508</v>
          </cell>
        </row>
        <row r="6">
          <cell r="C6" t="str">
            <v>rs55920843</v>
          </cell>
          <cell r="D6" t="str">
            <v>T</v>
          </cell>
          <cell r="E6" t="str">
            <v>G</v>
          </cell>
          <cell r="F6">
            <v>505512</v>
          </cell>
        </row>
        <row r="7">
          <cell r="C7" t="str">
            <v>rs7607980</v>
          </cell>
          <cell r="D7" t="str">
            <v>T</v>
          </cell>
          <cell r="E7" t="str">
            <v>C</v>
          </cell>
          <cell r="F7">
            <v>412011</v>
          </cell>
        </row>
        <row r="8">
          <cell r="C8" t="str">
            <v>rs7586970</v>
          </cell>
          <cell r="D8" t="str">
            <v>T</v>
          </cell>
          <cell r="E8" t="str">
            <v>C</v>
          </cell>
          <cell r="F8">
            <v>494861</v>
          </cell>
        </row>
        <row r="9">
          <cell r="C9" t="str">
            <v>rs1034405</v>
          </cell>
          <cell r="D9" t="str">
            <v>G</v>
          </cell>
          <cell r="E9" t="str">
            <v>A</v>
          </cell>
          <cell r="F9">
            <v>505512</v>
          </cell>
        </row>
        <row r="10">
          <cell r="C10" t="str">
            <v>rs13303</v>
          </cell>
          <cell r="D10" t="str">
            <v>T</v>
          </cell>
          <cell r="E10" t="str">
            <v>C</v>
          </cell>
          <cell r="F10">
            <v>514656</v>
          </cell>
        </row>
        <row r="11">
          <cell r="C11" t="str">
            <v>rs3617</v>
          </cell>
          <cell r="D11" t="str">
            <v>C</v>
          </cell>
          <cell r="E11" t="str">
            <v>A</v>
          </cell>
          <cell r="F11">
            <v>502279</v>
          </cell>
        </row>
        <row r="12">
          <cell r="C12" t="str">
            <v>rs62266958</v>
          </cell>
          <cell r="D12" t="str">
            <v>C</v>
          </cell>
          <cell r="E12" t="str">
            <v>T</v>
          </cell>
          <cell r="F12">
            <v>526508</v>
          </cell>
        </row>
        <row r="13">
          <cell r="C13" t="str">
            <v>rs2625973</v>
          </cell>
          <cell r="D13" t="str">
            <v>A</v>
          </cell>
          <cell r="E13" t="str">
            <v>C</v>
          </cell>
          <cell r="F13">
            <v>526508</v>
          </cell>
        </row>
        <row r="14">
          <cell r="C14" t="str">
            <v>rs1804080</v>
          </cell>
          <cell r="D14" t="str">
            <v>G</v>
          </cell>
          <cell r="E14" t="str">
            <v>C</v>
          </cell>
          <cell r="F14">
            <v>496120</v>
          </cell>
        </row>
        <row r="15">
          <cell r="C15" t="str">
            <v>rs7657817</v>
          </cell>
          <cell r="D15" t="str">
            <v>C</v>
          </cell>
          <cell r="E15" t="str">
            <v>T</v>
          </cell>
          <cell r="F15">
            <v>526508</v>
          </cell>
        </row>
        <row r="16">
          <cell r="C16" t="str">
            <v>rs3733526</v>
          </cell>
          <cell r="D16" t="str">
            <v>G</v>
          </cell>
          <cell r="E16" t="str">
            <v>A</v>
          </cell>
          <cell r="F16">
            <v>502638</v>
          </cell>
        </row>
        <row r="17">
          <cell r="C17" t="str">
            <v>rs113965318</v>
          </cell>
          <cell r="D17" t="str">
            <v>A</v>
          </cell>
          <cell r="E17" t="str">
            <v>T</v>
          </cell>
          <cell r="F17">
            <v>489314</v>
          </cell>
        </row>
        <row r="18">
          <cell r="C18" t="str">
            <v>rs1966265</v>
          </cell>
          <cell r="D18" t="str">
            <v>G</v>
          </cell>
          <cell r="E18" t="str">
            <v>A</v>
          </cell>
          <cell r="F18">
            <v>505512</v>
          </cell>
        </row>
        <row r="19">
          <cell r="C19" t="str">
            <v>rs1334576</v>
          </cell>
          <cell r="D19" t="str">
            <v>G</v>
          </cell>
          <cell r="E19" t="str">
            <v>A</v>
          </cell>
          <cell r="F19">
            <v>501135</v>
          </cell>
        </row>
        <row r="20">
          <cell r="C20" t="str">
            <v>rs146860658</v>
          </cell>
          <cell r="D20" t="str">
            <v>C</v>
          </cell>
          <cell r="E20" t="str">
            <v>T</v>
          </cell>
          <cell r="F20">
            <v>379776</v>
          </cell>
        </row>
        <row r="21">
          <cell r="C21" t="str">
            <v>rs9469913</v>
          </cell>
          <cell r="D21" t="str">
            <v>A</v>
          </cell>
          <cell r="E21" t="str">
            <v>T</v>
          </cell>
          <cell r="F21">
            <v>246643</v>
          </cell>
        </row>
        <row r="22">
          <cell r="C22" t="str">
            <v>rs1892172</v>
          </cell>
          <cell r="D22" t="str">
            <v>G</v>
          </cell>
          <cell r="E22" t="str">
            <v>A</v>
          </cell>
          <cell r="F22">
            <v>526508</v>
          </cell>
        </row>
        <row r="23">
          <cell r="C23" t="str">
            <v>rs139745911</v>
          </cell>
          <cell r="D23" t="str">
            <v>G</v>
          </cell>
          <cell r="E23" t="str">
            <v>A</v>
          </cell>
          <cell r="F23">
            <v>417852</v>
          </cell>
        </row>
        <row r="24">
          <cell r="C24" t="str">
            <v>rs36170987</v>
          </cell>
          <cell r="D24" t="str">
            <v>G</v>
          </cell>
          <cell r="E24" t="str">
            <v>T</v>
          </cell>
          <cell r="F24">
            <v>319870</v>
          </cell>
        </row>
        <row r="25">
          <cell r="C25" t="str">
            <v>rs2303361</v>
          </cell>
          <cell r="D25" t="str">
            <v>T</v>
          </cell>
          <cell r="E25" t="str">
            <v>C</v>
          </cell>
          <cell r="F25">
            <v>526508</v>
          </cell>
        </row>
        <row r="26">
          <cell r="C26" t="str">
            <v>rs35332062</v>
          </cell>
          <cell r="D26" t="str">
            <v>G</v>
          </cell>
          <cell r="E26" t="str">
            <v>A</v>
          </cell>
          <cell r="F26">
            <v>501135</v>
          </cell>
        </row>
        <row r="27">
          <cell r="C27" t="str">
            <v>rs3812316</v>
          </cell>
          <cell r="D27" t="str">
            <v>C</v>
          </cell>
          <cell r="E27" t="str">
            <v>G</v>
          </cell>
          <cell r="F27">
            <v>476308</v>
          </cell>
        </row>
        <row r="28">
          <cell r="C28" t="str">
            <v>rs17417407</v>
          </cell>
          <cell r="D28" t="str">
            <v>G</v>
          </cell>
          <cell r="E28" t="str">
            <v>T</v>
          </cell>
          <cell r="F28">
            <v>526508</v>
          </cell>
        </row>
        <row r="29">
          <cell r="C29" t="str">
            <v>rs138315382</v>
          </cell>
          <cell r="D29" t="str">
            <v>C</v>
          </cell>
          <cell r="E29" t="str">
            <v>T</v>
          </cell>
          <cell r="F29">
            <v>399072</v>
          </cell>
        </row>
        <row r="30">
          <cell r="C30" t="str">
            <v>rs35169799</v>
          </cell>
          <cell r="D30" t="str">
            <v>C</v>
          </cell>
          <cell r="E30" t="str">
            <v>T</v>
          </cell>
          <cell r="F30">
            <v>524754</v>
          </cell>
        </row>
        <row r="31">
          <cell r="C31" t="str">
            <v>rs7114037</v>
          </cell>
          <cell r="D31" t="str">
            <v>C</v>
          </cell>
          <cell r="E31" t="str">
            <v>A</v>
          </cell>
          <cell r="F31">
            <v>502531</v>
          </cell>
        </row>
        <row r="32">
          <cell r="C32" t="str">
            <v>rs145878042</v>
          </cell>
          <cell r="D32" t="str">
            <v>A</v>
          </cell>
          <cell r="E32" t="str">
            <v>G</v>
          </cell>
          <cell r="F32">
            <v>512882</v>
          </cell>
        </row>
        <row r="33">
          <cell r="C33" t="str">
            <v>rs3764002</v>
          </cell>
          <cell r="D33" t="str">
            <v>C</v>
          </cell>
          <cell r="E33" t="str">
            <v>T</v>
          </cell>
          <cell r="F33">
            <v>512882</v>
          </cell>
        </row>
        <row r="34">
          <cell r="C34" t="str">
            <v>rs58843120</v>
          </cell>
          <cell r="D34" t="str">
            <v>G</v>
          </cell>
          <cell r="E34" t="str">
            <v>T</v>
          </cell>
          <cell r="F34">
            <v>516412</v>
          </cell>
        </row>
        <row r="35">
          <cell r="C35" t="str">
            <v>rs11057353</v>
          </cell>
          <cell r="D35" t="str">
            <v>T</v>
          </cell>
          <cell r="E35" t="str">
            <v>C</v>
          </cell>
          <cell r="F35">
            <v>526508</v>
          </cell>
        </row>
        <row r="36">
          <cell r="C36" t="str">
            <v>rs34934281</v>
          </cell>
          <cell r="D36" t="str">
            <v>C</v>
          </cell>
          <cell r="E36" t="str">
            <v>T</v>
          </cell>
          <cell r="F36">
            <v>526508</v>
          </cell>
        </row>
        <row r="37">
          <cell r="C37" t="str">
            <v>rs11057401</v>
          </cell>
          <cell r="D37" t="str">
            <v>T</v>
          </cell>
          <cell r="E37" t="str">
            <v>A</v>
          </cell>
          <cell r="F37">
            <v>505981</v>
          </cell>
        </row>
        <row r="38">
          <cell r="C38" t="str">
            <v>rs17677991</v>
          </cell>
          <cell r="D38" t="str">
            <v>C</v>
          </cell>
          <cell r="E38" t="str">
            <v>G</v>
          </cell>
          <cell r="F38">
            <v>520381</v>
          </cell>
        </row>
        <row r="39">
          <cell r="C39" t="str">
            <v>rs1715919</v>
          </cell>
          <cell r="D39" t="str">
            <v>T</v>
          </cell>
          <cell r="E39" t="str">
            <v>G</v>
          </cell>
          <cell r="F39">
            <v>526508</v>
          </cell>
        </row>
        <row r="40">
          <cell r="C40" t="str">
            <v>rs3810818</v>
          </cell>
          <cell r="D40" t="str">
            <v>A</v>
          </cell>
          <cell r="E40" t="str">
            <v>C</v>
          </cell>
          <cell r="F40">
            <v>473097</v>
          </cell>
        </row>
        <row r="41">
          <cell r="C41" t="str">
            <v>rs3747579</v>
          </cell>
          <cell r="D41" t="str">
            <v>C</v>
          </cell>
          <cell r="E41" t="str">
            <v>T</v>
          </cell>
          <cell r="F41">
            <v>499898</v>
          </cell>
        </row>
        <row r="42">
          <cell r="C42" t="str">
            <v>rs1139653</v>
          </cell>
          <cell r="D42" t="str">
            <v>A</v>
          </cell>
          <cell r="E42" t="str">
            <v>T</v>
          </cell>
          <cell r="F42">
            <v>475118</v>
          </cell>
        </row>
        <row r="43">
          <cell r="C43" t="str">
            <v>rs9922085</v>
          </cell>
          <cell r="D43" t="str">
            <v>G</v>
          </cell>
          <cell r="E43" t="str">
            <v>C</v>
          </cell>
          <cell r="F43">
            <v>496804</v>
          </cell>
        </row>
        <row r="44">
          <cell r="C44" t="str">
            <v>rs8052655</v>
          </cell>
          <cell r="D44" t="str">
            <v>G</v>
          </cell>
          <cell r="E44" t="str">
            <v>A</v>
          </cell>
          <cell r="F44">
            <v>501333</v>
          </cell>
        </row>
        <row r="45">
          <cell r="C45" t="str">
            <v>rs11554159</v>
          </cell>
          <cell r="D45" t="str">
            <v>G</v>
          </cell>
          <cell r="E45" t="str">
            <v>A</v>
          </cell>
          <cell r="F45">
            <v>524754</v>
          </cell>
        </row>
        <row r="46">
          <cell r="C46" t="str">
            <v>rs874628</v>
          </cell>
          <cell r="D46" t="str">
            <v>A</v>
          </cell>
          <cell r="E46" t="str">
            <v>G</v>
          </cell>
          <cell r="F46">
            <v>526508</v>
          </cell>
        </row>
        <row r="47">
          <cell r="C47" t="str">
            <v>rs2287922</v>
          </cell>
          <cell r="D47" t="str">
            <v>G</v>
          </cell>
          <cell r="E47" t="str">
            <v>A</v>
          </cell>
          <cell r="F47">
            <v>433179</v>
          </cell>
        </row>
        <row r="48">
          <cell r="C48" t="str">
            <v>rs2307019</v>
          </cell>
          <cell r="D48" t="str">
            <v>G</v>
          </cell>
          <cell r="E48" t="str">
            <v>A</v>
          </cell>
          <cell r="F48">
            <v>526508</v>
          </cell>
        </row>
        <row r="49">
          <cell r="C49" t="str">
            <v>rs4911494</v>
          </cell>
          <cell r="D49" t="str">
            <v>C</v>
          </cell>
          <cell r="E49" t="str">
            <v>T</v>
          </cell>
          <cell r="F49">
            <v>499487</v>
          </cell>
        </row>
        <row r="50">
          <cell r="C50" t="str">
            <v>rs224331</v>
          </cell>
          <cell r="D50" t="str">
            <v>A</v>
          </cell>
          <cell r="E50" t="str">
            <v>C</v>
          </cell>
          <cell r="F50">
            <v>379061</v>
          </cell>
        </row>
        <row r="51">
          <cell r="C51" t="str">
            <v>rs144098855</v>
          </cell>
          <cell r="D51" t="str">
            <v>C</v>
          </cell>
          <cell r="E51" t="str">
            <v>T</v>
          </cell>
          <cell r="F51">
            <v>475422</v>
          </cell>
        </row>
      </sheetData>
      <sheetData sheetId="2">
        <row r="1">
          <cell r="C1" t="str">
            <v>rs_dbSNP138</v>
          </cell>
          <cell r="D1" t="str">
            <v>REF</v>
          </cell>
          <cell r="E1" t="str">
            <v>ALT</v>
          </cell>
          <cell r="F1" t="str">
            <v>N</v>
          </cell>
        </row>
        <row r="2">
          <cell r="C2" t="str">
            <v>rs35515638</v>
          </cell>
          <cell r="D2" t="str">
            <v>A</v>
          </cell>
          <cell r="E2" t="str">
            <v>G</v>
          </cell>
          <cell r="F2">
            <v>363043</v>
          </cell>
        </row>
        <row r="3">
          <cell r="C3" t="str">
            <v>rs2255703</v>
          </cell>
          <cell r="D3" t="str">
            <v>T</v>
          </cell>
          <cell r="E3" t="str">
            <v>C</v>
          </cell>
          <cell r="F3">
            <v>439508</v>
          </cell>
        </row>
        <row r="4">
          <cell r="C4" t="str">
            <v>rs10518608</v>
          </cell>
          <cell r="D4" t="str">
            <v>T</v>
          </cell>
          <cell r="E4" t="str">
            <v>C</v>
          </cell>
          <cell r="F4">
            <v>399678</v>
          </cell>
        </row>
        <row r="5">
          <cell r="C5" t="str">
            <v>rs1051860</v>
          </cell>
          <cell r="D5" t="str">
            <v>A</v>
          </cell>
          <cell r="E5" t="str">
            <v>G</v>
          </cell>
          <cell r="F5">
            <v>393707</v>
          </cell>
        </row>
        <row r="6">
          <cell r="C6" t="str">
            <v>rs3959569</v>
          </cell>
          <cell r="D6" t="str">
            <v>G</v>
          </cell>
          <cell r="E6" t="str">
            <v>C</v>
          </cell>
          <cell r="F6">
            <v>228459</v>
          </cell>
        </row>
      </sheetData>
      <sheetData sheetId="3" refreshError="1"/>
      <sheetData sheetId="4">
        <row r="1">
          <cell r="C1" t="str">
            <v>rs_dbSNP138</v>
          </cell>
          <cell r="D1" t="str">
            <v>REF</v>
          </cell>
          <cell r="E1" t="str">
            <v>ALT</v>
          </cell>
          <cell r="F1" t="str">
            <v>N</v>
          </cell>
        </row>
        <row r="2">
          <cell r="C2" t="str">
            <v>rs141845046</v>
          </cell>
          <cell r="D2" t="str">
            <v>C</v>
          </cell>
          <cell r="E2" t="str">
            <v>T</v>
          </cell>
          <cell r="F2">
            <v>274807</v>
          </cell>
        </row>
        <row r="3">
          <cell r="C3" t="str">
            <v>rs3851294</v>
          </cell>
          <cell r="D3" t="str">
            <v>A</v>
          </cell>
          <cell r="E3" t="str">
            <v>G</v>
          </cell>
          <cell r="F3">
            <v>274206</v>
          </cell>
        </row>
        <row r="4">
          <cell r="C4" t="str">
            <v>rs55920843</v>
          </cell>
          <cell r="D4" t="str">
            <v>T</v>
          </cell>
          <cell r="E4" t="str">
            <v>G</v>
          </cell>
          <cell r="F4">
            <v>270496</v>
          </cell>
        </row>
        <row r="5">
          <cell r="C5" t="str">
            <v>rs7607980</v>
          </cell>
          <cell r="D5" t="str">
            <v>T</v>
          </cell>
          <cell r="E5" t="str">
            <v>C</v>
          </cell>
          <cell r="F5">
            <v>229048</v>
          </cell>
        </row>
        <row r="6">
          <cell r="C6" t="str">
            <v>rs62266958</v>
          </cell>
          <cell r="D6" t="str">
            <v>C</v>
          </cell>
          <cell r="E6" t="str">
            <v>T</v>
          </cell>
          <cell r="F6">
            <v>274807</v>
          </cell>
        </row>
        <row r="7">
          <cell r="C7" t="str">
            <v>rs2625973</v>
          </cell>
          <cell r="D7" t="str">
            <v>A</v>
          </cell>
          <cell r="E7" t="str">
            <v>C</v>
          </cell>
          <cell r="F7">
            <v>274789</v>
          </cell>
        </row>
        <row r="8">
          <cell r="C8" t="str">
            <v>rs2255703</v>
          </cell>
          <cell r="D8" t="str">
            <v>T</v>
          </cell>
          <cell r="E8" t="str">
            <v>C</v>
          </cell>
          <cell r="F8">
            <v>268475</v>
          </cell>
        </row>
        <row r="9">
          <cell r="C9" t="str">
            <v>rs1804080</v>
          </cell>
          <cell r="D9" t="str">
            <v>G</v>
          </cell>
          <cell r="E9" t="str">
            <v>C</v>
          </cell>
          <cell r="F9">
            <v>248533</v>
          </cell>
        </row>
        <row r="10">
          <cell r="C10" t="str">
            <v>rs7657817</v>
          </cell>
          <cell r="D10" t="str">
            <v>C</v>
          </cell>
          <cell r="E10" t="str">
            <v>T</v>
          </cell>
          <cell r="F10">
            <v>274807</v>
          </cell>
        </row>
        <row r="11">
          <cell r="C11" t="str">
            <v>rs1892172</v>
          </cell>
          <cell r="D11" t="str">
            <v>G</v>
          </cell>
          <cell r="E11" t="str">
            <v>A</v>
          </cell>
          <cell r="F11">
            <v>274807</v>
          </cell>
        </row>
        <row r="12">
          <cell r="C12" t="str">
            <v>rs139745911</v>
          </cell>
          <cell r="D12" t="str">
            <v>G</v>
          </cell>
          <cell r="E12" t="str">
            <v>A</v>
          </cell>
          <cell r="F12">
            <v>216775</v>
          </cell>
        </row>
        <row r="13">
          <cell r="C13" t="str">
            <v>rs35169799</v>
          </cell>
          <cell r="D13" t="str">
            <v>C</v>
          </cell>
          <cell r="E13" t="str">
            <v>T</v>
          </cell>
          <cell r="F13">
            <v>273869</v>
          </cell>
        </row>
        <row r="14">
          <cell r="C14" t="str">
            <v>rs11057353</v>
          </cell>
          <cell r="D14" t="str">
            <v>T</v>
          </cell>
          <cell r="E14" t="str">
            <v>C</v>
          </cell>
          <cell r="F14">
            <v>274807</v>
          </cell>
        </row>
        <row r="15">
          <cell r="C15" t="str">
            <v>rs34934281</v>
          </cell>
          <cell r="D15" t="str">
            <v>C</v>
          </cell>
          <cell r="E15" t="str">
            <v>T</v>
          </cell>
          <cell r="F15">
            <v>274807</v>
          </cell>
        </row>
        <row r="16">
          <cell r="C16" t="str">
            <v>rs11057401</v>
          </cell>
          <cell r="D16" t="str">
            <v>T</v>
          </cell>
          <cell r="E16" t="str">
            <v>A</v>
          </cell>
          <cell r="F16">
            <v>262300</v>
          </cell>
        </row>
        <row r="17">
          <cell r="C17" t="str">
            <v>rs116843064</v>
          </cell>
          <cell r="D17" t="str">
            <v>G</v>
          </cell>
          <cell r="E17" t="str">
            <v>A</v>
          </cell>
          <cell r="F17">
            <v>264143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tatus"/>
      <sheetName val="Table 1"/>
      <sheetName val="Table 2"/>
      <sheetName val="ST1. Study Designs"/>
      <sheetName val="ST2. Genotyping and QC"/>
      <sheetName val="ST3. Study Descriptives"/>
      <sheetName val="ST4. Suggestive SNVs-CombSexes"/>
      <sheetName val="ST5. Suggestive SNVs-Men"/>
      <sheetName val="ST6. Suggestive SNVs-Women"/>
      <sheetName val="ST7. ConditnlDiscovry-Multi"/>
      <sheetName val="ST8(A)-GWASconditional-ukbb"/>
      <sheetName val="ST8(B)-GWASconditional_EC"/>
      <sheetName val="ST9. Collider_bias"/>
      <sheetName val="ST10. Gene-based Results"/>
      <sheetName val="ST11. DEPICT All SNVs"/>
      <sheetName val="ST12. DEPICT Novel SNVs"/>
      <sheetName val="ST13. PASCAL"/>
      <sheetName val="ST14. Cross Trait Lookups"/>
      <sheetName val="ST15. Total Body Fat lookups"/>
      <sheetName val="ST16. Truncal Fat lookups"/>
      <sheetName val="ST17. Monogenic gene lists"/>
      <sheetName val="ST18. Variance Explained"/>
      <sheetName val="ST19. UKBB Penetrance Anal"/>
      <sheetName val="ST20. Fly Results"/>
      <sheetName val="ST21. eQTL_METSIM"/>
      <sheetName val="ST22. eQTL_GTEx "/>
      <sheetName val="ST23. Locus Lookups"/>
      <sheetName val="ST24. VEP annotation"/>
      <sheetName val="ST25. Inflation_Factor"/>
      <sheetName val="ST26.Acknowledg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t="str">
            <v>rsID</v>
          </cell>
          <cell r="D4" t="str">
            <v>Chr</v>
          </cell>
          <cell r="E4" t="str">
            <v>Position (GRCh37)b</v>
          </cell>
          <cell r="F4" t="str">
            <v>Genec</v>
          </cell>
          <cell r="G4" t="str">
            <v>Amino Acid changec</v>
          </cell>
          <cell r="H4" t="str">
            <v>Known locusd</v>
          </cell>
          <cell r="I4" t="str">
            <v>Effect (WHRadjBMI increasing) Allele</v>
          </cell>
          <cell r="J4" t="str">
            <v>Other Allele</v>
          </cell>
          <cell r="L4" t="str">
            <v>N</v>
          </cell>
          <cell r="M4" t="str">
            <v>Effect Allele Frequency</v>
          </cell>
          <cell r="N4" t="str">
            <v>Effect sizee (SD/allele)</v>
          </cell>
          <cell r="O4" t="str">
            <v>SE</v>
          </cell>
          <cell r="P4" t="str">
            <v>P-value</v>
          </cell>
          <cell r="Q4" t="str">
            <v>P-value for Sex-heterogeneityf</v>
          </cell>
          <cell r="R4" t="str">
            <v>N</v>
          </cell>
          <cell r="S4" t="str">
            <v>Effect Allele Frequency</v>
          </cell>
          <cell r="T4" t="str">
            <v>Effect sizee (SD/allele)</v>
          </cell>
          <cell r="U4" t="str">
            <v>SE</v>
          </cell>
          <cell r="V4" t="str">
            <v>P-value</v>
          </cell>
          <cell r="W4" t="str">
            <v>P-value for Sex-heterogeneityf</v>
          </cell>
        </row>
        <row r="5">
          <cell r="C5" t="str">
            <v>rs7537203</v>
          </cell>
          <cell r="D5">
            <v>1</v>
          </cell>
          <cell r="E5">
            <v>36225948</v>
          </cell>
          <cell r="F5" t="str">
            <v>CLSPN</v>
          </cell>
          <cell r="G5" t="str">
            <v>N525S</v>
          </cell>
          <cell r="I5" t="str">
            <v>C</v>
          </cell>
          <cell r="J5" t="str">
            <v>T</v>
          </cell>
          <cell r="L5">
            <v>188983</v>
          </cell>
          <cell r="M5">
            <v>0.15440000000000001</v>
          </cell>
          <cell r="N5">
            <v>1.7600000000000001E-2</v>
          </cell>
          <cell r="O5">
            <v>4.5999999999999999E-3</v>
          </cell>
          <cell r="P5">
            <v>1.306E-4</v>
          </cell>
          <cell r="Q5">
            <v>0.87311209999999995</v>
          </cell>
          <cell r="R5">
            <v>160211</v>
          </cell>
          <cell r="S5">
            <v>0.1283</v>
          </cell>
          <cell r="T5">
            <v>1.6299999999999999E-2</v>
          </cell>
          <cell r="U5">
            <v>5.3E-3</v>
          </cell>
          <cell r="V5">
            <v>1.9E-3</v>
          </cell>
          <cell r="W5">
            <v>0.83430820000000006</v>
          </cell>
        </row>
        <row r="6">
          <cell r="C6" t="str">
            <v>rs61730011</v>
          </cell>
          <cell r="D6">
            <v>1</v>
          </cell>
          <cell r="E6">
            <v>119427467</v>
          </cell>
          <cell r="F6" t="str">
            <v>TBX15</v>
          </cell>
          <cell r="G6" t="str">
            <v>M566R</v>
          </cell>
          <cell r="H6" t="str">
            <v>rs2645294, rs12731372, rs12143789, rs1106529</v>
          </cell>
          <cell r="I6" t="str">
            <v>A</v>
          </cell>
          <cell r="J6" t="str">
            <v>C</v>
          </cell>
          <cell r="L6">
            <v>200878</v>
          </cell>
          <cell r="M6">
            <v>0.95730000000000004</v>
          </cell>
          <cell r="N6">
            <v>3.8199999999999998E-2</v>
          </cell>
          <cell r="O6">
            <v>7.7999999999999996E-3</v>
          </cell>
          <cell r="P6">
            <v>8.8700000000000004E-7</v>
          </cell>
          <cell r="Q6">
            <v>0.66914249999999997</v>
          </cell>
          <cell r="R6">
            <v>185316</v>
          </cell>
          <cell r="S6">
            <v>0.95730000000000004</v>
          </cell>
          <cell r="T6">
            <v>3.5000000000000003E-2</v>
          </cell>
          <cell r="U6">
            <v>8.0999999999999996E-3</v>
          </cell>
          <cell r="V6">
            <v>1.4399999999999999E-5</v>
          </cell>
          <cell r="W6">
            <v>0.49392930000000002</v>
          </cell>
        </row>
        <row r="7">
          <cell r="C7" t="str">
            <v>rs10494217</v>
          </cell>
          <cell r="D7">
            <v>1</v>
          </cell>
          <cell r="E7">
            <v>119469188</v>
          </cell>
          <cell r="G7" t="str">
            <v>H156N</v>
          </cell>
          <cell r="I7" t="str">
            <v>T</v>
          </cell>
          <cell r="J7" t="str">
            <v>G</v>
          </cell>
          <cell r="L7">
            <v>225500</v>
          </cell>
          <cell r="M7">
            <v>0.17460000000000001</v>
          </cell>
          <cell r="N7">
            <v>1.6400000000000001E-2</v>
          </cell>
          <cell r="O7">
            <v>3.8999999999999998E-3</v>
          </cell>
          <cell r="P7">
            <v>3.1000000000000001E-5</v>
          </cell>
          <cell r="Q7">
            <v>0.59609250000000003</v>
          </cell>
          <cell r="R7">
            <v>192238</v>
          </cell>
          <cell r="S7">
            <v>0.1898</v>
          </cell>
          <cell r="T7">
            <v>1.6199999999999999E-2</v>
          </cell>
          <cell r="U7">
            <v>4.1000000000000003E-3</v>
          </cell>
          <cell r="V7">
            <v>8.14E-5</v>
          </cell>
          <cell r="W7">
            <v>0.52132149999999999</v>
          </cell>
        </row>
        <row r="8">
          <cell r="C8" t="str">
            <v>rs141845046</v>
          </cell>
          <cell r="D8">
            <v>1</v>
          </cell>
          <cell r="E8">
            <v>154987704</v>
          </cell>
          <cell r="F8" t="str">
            <v>ZBTB7B</v>
          </cell>
          <cell r="G8" t="str">
            <v>P190S</v>
          </cell>
          <cell r="H8" t="str">
            <v>rs905938</v>
          </cell>
          <cell r="I8" t="str">
            <v>C</v>
          </cell>
          <cell r="J8" t="str">
            <v>T</v>
          </cell>
          <cell r="L8">
            <v>226709</v>
          </cell>
          <cell r="M8">
            <v>0.97509999999999997</v>
          </cell>
          <cell r="N8">
            <v>3.8E-3</v>
          </cell>
          <cell r="O8">
            <v>9.5999999999999992E-3</v>
          </cell>
          <cell r="P8">
            <v>0.68769999999999998</v>
          </cell>
          <cell r="Q8">
            <v>7.9100000000000003E-7</v>
          </cell>
          <cell r="R8">
            <v>193447</v>
          </cell>
          <cell r="S8">
            <v>0.97089999999999999</v>
          </cell>
          <cell r="T8">
            <v>3.3999999999999998E-3</v>
          </cell>
          <cell r="U8">
            <v>9.7000000000000003E-3</v>
          </cell>
          <cell r="V8">
            <v>0.72670000000000001</v>
          </cell>
          <cell r="W8">
            <v>7.6000000000000003E-7</v>
          </cell>
        </row>
        <row r="9">
          <cell r="C9" t="str">
            <v>rs35515638</v>
          </cell>
          <cell r="D9">
            <v>1</v>
          </cell>
          <cell r="E9">
            <v>173802608</v>
          </cell>
          <cell r="F9" t="str">
            <v>DARS2</v>
          </cell>
          <cell r="G9" t="str">
            <v>K196R</v>
          </cell>
          <cell r="I9" t="str">
            <v>G</v>
          </cell>
          <cell r="J9" t="str">
            <v>A</v>
          </cell>
          <cell r="L9">
            <v>187155</v>
          </cell>
          <cell r="M9">
            <v>4.5999999999999999E-3</v>
          </cell>
          <cell r="N9">
            <v>0.1014</v>
          </cell>
          <cell r="O9">
            <v>2.8500000000000001E-2</v>
          </cell>
          <cell r="P9">
            <v>3.745E-4</v>
          </cell>
          <cell r="Q9">
            <v>8.6594099999999993E-2</v>
          </cell>
          <cell r="R9">
            <v>154194</v>
          </cell>
          <cell r="S9">
            <v>1.8E-3</v>
          </cell>
          <cell r="T9">
            <v>0.25700000000000001</v>
          </cell>
          <cell r="U9">
            <v>4.9099999999999998E-2</v>
          </cell>
          <cell r="V9">
            <v>1.6299999999999999E-7</v>
          </cell>
          <cell r="W9">
            <v>6.0161800000000001E-2</v>
          </cell>
        </row>
        <row r="10">
          <cell r="C10" t="str">
            <v>rs3851294</v>
          </cell>
          <cell r="D10">
            <v>1</v>
          </cell>
          <cell r="E10">
            <v>205130413</v>
          </cell>
          <cell r="F10" t="str">
            <v>DSTYK</v>
          </cell>
          <cell r="G10" t="str">
            <v>C641R</v>
          </cell>
          <cell r="I10" t="str">
            <v>G</v>
          </cell>
          <cell r="J10" t="str">
            <v>A</v>
          </cell>
          <cell r="L10">
            <v>225803</v>
          </cell>
          <cell r="M10">
            <v>0.91439999999999999</v>
          </cell>
          <cell r="N10">
            <v>-5.1000000000000004E-3</v>
          </cell>
          <cell r="O10">
            <v>5.3E-3</v>
          </cell>
          <cell r="P10">
            <v>0.33939999999999998</v>
          </cell>
          <cell r="Q10">
            <v>9.7500000000000006E-8</v>
          </cell>
          <cell r="R10">
            <v>192541</v>
          </cell>
          <cell r="S10">
            <v>0.90749999999999997</v>
          </cell>
          <cell r="T10">
            <v>-3.8999999999999998E-3</v>
          </cell>
          <cell r="U10">
            <v>5.4999999999999997E-3</v>
          </cell>
          <cell r="V10">
            <v>0.47860000000000003</v>
          </cell>
          <cell r="W10">
            <v>3.15E-7</v>
          </cell>
        </row>
        <row r="11">
          <cell r="C11" t="str">
            <v>rs4668909</v>
          </cell>
          <cell r="D11">
            <v>2</v>
          </cell>
          <cell r="E11">
            <v>15607842</v>
          </cell>
          <cell r="F11" t="str">
            <v>NBAS</v>
          </cell>
          <cell r="G11" t="str">
            <v>K655R</v>
          </cell>
          <cell r="I11" t="str">
            <v>C</v>
          </cell>
          <cell r="J11" t="str">
            <v>T</v>
          </cell>
          <cell r="L11">
            <v>219790</v>
          </cell>
          <cell r="M11">
            <v>0.63249999999999995</v>
          </cell>
          <cell r="N11">
            <v>3.2000000000000002E-3</v>
          </cell>
          <cell r="O11">
            <v>4.4000000000000003E-3</v>
          </cell>
          <cell r="P11">
            <v>0.47639999999999999</v>
          </cell>
          <cell r="Q11">
            <v>5.8040799999999997E-2</v>
          </cell>
          <cell r="R11">
            <v>187589</v>
          </cell>
          <cell r="S11">
            <v>0.6673</v>
          </cell>
          <cell r="T11">
            <v>3.0999999999999999E-3</v>
          </cell>
          <cell r="U11">
            <v>4.7000000000000002E-3</v>
          </cell>
          <cell r="V11">
            <v>0.50490000000000002</v>
          </cell>
          <cell r="W11">
            <v>3.8759299999999997E-2</v>
          </cell>
        </row>
        <row r="12">
          <cell r="C12" t="str">
            <v>rs55920843</v>
          </cell>
          <cell r="D12">
            <v>2</v>
          </cell>
          <cell r="E12">
            <v>158412701</v>
          </cell>
          <cell r="F12" t="str">
            <v>ACVR1C</v>
          </cell>
          <cell r="G12" t="str">
            <v>N150H</v>
          </cell>
          <cell r="I12" t="str">
            <v>T</v>
          </cell>
          <cell r="J12" t="str">
            <v>G</v>
          </cell>
          <cell r="L12">
            <v>210071</v>
          </cell>
          <cell r="M12">
            <v>0.98899999999999999</v>
          </cell>
          <cell r="N12">
            <v>5.4999999999999997E-3</v>
          </cell>
          <cell r="O12">
            <v>1.52E-2</v>
          </cell>
          <cell r="P12">
            <v>0.71889999999999998</v>
          </cell>
          <cell r="Q12">
            <v>1.7100000000000001E-7</v>
          </cell>
          <cell r="R12">
            <v>193448</v>
          </cell>
          <cell r="S12">
            <v>0.98839999999999995</v>
          </cell>
          <cell r="T12">
            <v>6.4000000000000003E-3</v>
          </cell>
          <cell r="U12">
            <v>1.54E-2</v>
          </cell>
          <cell r="V12">
            <v>0.67530000000000001</v>
          </cell>
          <cell r="W12">
            <v>8.1900000000000001E-7</v>
          </cell>
        </row>
        <row r="13">
          <cell r="C13" t="str">
            <v>rs7607980</v>
          </cell>
          <cell r="D13">
            <v>2</v>
          </cell>
          <cell r="E13">
            <v>165551201</v>
          </cell>
          <cell r="F13" t="str">
            <v>COBLL1</v>
          </cell>
          <cell r="G13" t="str">
            <v>N941D</v>
          </cell>
          <cell r="H13" t="str">
            <v>rs1128249, rs10195252, rs12692737, rs12692738, rs17185198</v>
          </cell>
          <cell r="I13" t="str">
            <v>T</v>
          </cell>
          <cell r="J13" t="str">
            <v>C</v>
          </cell>
          <cell r="L13">
            <v>173600</v>
          </cell>
          <cell r="M13">
            <v>0.87960000000000005</v>
          </cell>
          <cell r="N13">
            <v>-1.78E-2</v>
          </cell>
          <cell r="O13">
            <v>5.1999999999999998E-3</v>
          </cell>
          <cell r="P13">
            <v>5.754E-4</v>
          </cell>
          <cell r="Q13">
            <v>3.010203E-30</v>
          </cell>
          <cell r="R13">
            <v>162734</v>
          </cell>
          <cell r="S13">
            <v>0.87870000000000004</v>
          </cell>
          <cell r="T13">
            <v>-1.66E-2</v>
          </cell>
          <cell r="U13">
            <v>5.3E-3</v>
          </cell>
          <cell r="V13">
            <v>1.7880000000000001E-3</v>
          </cell>
          <cell r="W13">
            <v>1.7999999999999999E-28</v>
          </cell>
        </row>
        <row r="14">
          <cell r="C14" t="str">
            <v>rs7586970</v>
          </cell>
          <cell r="D14">
            <v>2</v>
          </cell>
          <cell r="E14">
            <v>188343497</v>
          </cell>
          <cell r="F14" t="str">
            <v>TFPI</v>
          </cell>
          <cell r="G14" t="str">
            <v>N221S</v>
          </cell>
          <cell r="H14" t="str">
            <v>rs1569135</v>
          </cell>
          <cell r="I14" t="str">
            <v>T</v>
          </cell>
          <cell r="J14" t="str">
            <v>C</v>
          </cell>
          <cell r="L14">
            <v>214576</v>
          </cell>
          <cell r="M14">
            <v>0.69830000000000003</v>
          </cell>
          <cell r="N14">
            <v>1.55E-2</v>
          </cell>
          <cell r="O14">
            <v>3.3E-3</v>
          </cell>
          <cell r="P14">
            <v>2.92E-6</v>
          </cell>
          <cell r="Q14">
            <v>0.62948689999999996</v>
          </cell>
          <cell r="R14">
            <v>181314</v>
          </cell>
          <cell r="S14">
            <v>0.69520000000000004</v>
          </cell>
          <cell r="T14">
            <v>1.8700000000000001E-2</v>
          </cell>
          <cell r="U14">
            <v>3.5999999999999999E-3</v>
          </cell>
          <cell r="V14">
            <v>1.85E-7</v>
          </cell>
          <cell r="W14">
            <v>0.79128580000000004</v>
          </cell>
        </row>
        <row r="15">
          <cell r="C15" t="str">
            <v>rs4082155</v>
          </cell>
          <cell r="D15">
            <v>3</v>
          </cell>
          <cell r="E15">
            <v>47125385</v>
          </cell>
          <cell r="F15" t="str">
            <v>SETD2</v>
          </cell>
          <cell r="G15" t="str">
            <v>P1962L</v>
          </cell>
          <cell r="I15" t="str">
            <v>A</v>
          </cell>
          <cell r="J15" t="str">
            <v>G</v>
          </cell>
          <cell r="L15">
            <v>164238</v>
          </cell>
          <cell r="M15">
            <v>0.5615</v>
          </cell>
          <cell r="N15">
            <v>9.2999999999999992E-3</v>
          </cell>
          <cell r="O15">
            <v>3.5000000000000001E-3</v>
          </cell>
          <cell r="P15">
            <v>8.5690000000000002E-3</v>
          </cell>
          <cell r="Q15">
            <v>0.18558140000000001</v>
          </cell>
          <cell r="R15">
            <v>130976</v>
          </cell>
          <cell r="S15">
            <v>0.57740000000000002</v>
          </cell>
          <cell r="T15">
            <v>6.6E-3</v>
          </cell>
          <cell r="U15">
            <v>4.0000000000000001E-3</v>
          </cell>
          <cell r="V15">
            <v>9.5409999999999995E-2</v>
          </cell>
          <cell r="W15">
            <v>6.7690299999999995E-2</v>
          </cell>
        </row>
        <row r="16">
          <cell r="C16" t="str">
            <v>rs2276853</v>
          </cell>
          <cell r="D16">
            <v>3</v>
          </cell>
          <cell r="E16">
            <v>47282303</v>
          </cell>
          <cell r="F16" t="str">
            <v>KIF9</v>
          </cell>
          <cell r="G16" t="str">
            <v>R638W</v>
          </cell>
          <cell r="I16" t="str">
            <v>A</v>
          </cell>
          <cell r="J16" t="str">
            <v>G</v>
          </cell>
          <cell r="L16">
            <v>164238</v>
          </cell>
          <cell r="M16">
            <v>0.59040000000000004</v>
          </cell>
          <cell r="N16">
            <v>1.0800000000000001E-2</v>
          </cell>
          <cell r="O16">
            <v>3.5999999999999999E-3</v>
          </cell>
          <cell r="P16">
            <v>2.5400000000000002E-3</v>
          </cell>
          <cell r="Q16">
            <v>0.3662861</v>
          </cell>
          <cell r="R16">
            <v>130976</v>
          </cell>
          <cell r="S16">
            <v>0.59640000000000004</v>
          </cell>
          <cell r="T16">
            <v>8.6999999999999994E-3</v>
          </cell>
          <cell r="U16">
            <v>4.0000000000000001E-3</v>
          </cell>
          <cell r="V16">
            <v>3.039E-2</v>
          </cell>
          <cell r="W16">
            <v>0.20742659999999999</v>
          </cell>
        </row>
        <row r="17">
          <cell r="C17" t="str">
            <v>rs1034405</v>
          </cell>
          <cell r="D17">
            <v>3</v>
          </cell>
          <cell r="E17">
            <v>50597092</v>
          </cell>
          <cell r="F17" t="str">
            <v>C3orf18</v>
          </cell>
          <cell r="G17" t="str">
            <v>A162V</v>
          </cell>
          <cell r="I17" t="str">
            <v>G</v>
          </cell>
          <cell r="J17" t="str">
            <v>A</v>
          </cell>
          <cell r="L17">
            <v>210009</v>
          </cell>
          <cell r="M17">
            <v>0.1328</v>
          </cell>
          <cell r="N17">
            <v>1.5800000000000002E-2</v>
          </cell>
          <cell r="O17">
            <v>4.4999999999999997E-3</v>
          </cell>
          <cell r="P17">
            <v>4.9899999999999999E-4</v>
          </cell>
          <cell r="Q17">
            <v>0.88411050000000002</v>
          </cell>
          <cell r="R17">
            <v>193386</v>
          </cell>
          <cell r="S17">
            <v>0.1305</v>
          </cell>
          <cell r="T17">
            <v>1.6E-2</v>
          </cell>
          <cell r="U17">
            <v>4.7000000000000002E-3</v>
          </cell>
          <cell r="V17">
            <v>7.3800000000000005E-4</v>
          </cell>
          <cell r="W17">
            <v>0.92594279999999995</v>
          </cell>
        </row>
        <row r="18">
          <cell r="C18" t="str">
            <v>rs13303</v>
          </cell>
          <cell r="D18">
            <v>3</v>
          </cell>
          <cell r="E18">
            <v>52558008</v>
          </cell>
          <cell r="F18" t="str">
            <v>STAB1</v>
          </cell>
          <cell r="G18" t="str">
            <v>M113T</v>
          </cell>
          <cell r="H18" t="str">
            <v>rs2276824</v>
          </cell>
          <cell r="I18" t="str">
            <v>T</v>
          </cell>
          <cell r="J18" t="str">
            <v>C</v>
          </cell>
          <cell r="L18">
            <v>223921</v>
          </cell>
          <cell r="M18">
            <v>0.45540000000000003</v>
          </cell>
          <cell r="N18">
            <v>1.5100000000000001E-2</v>
          </cell>
          <cell r="O18">
            <v>3.0000000000000001E-3</v>
          </cell>
          <cell r="P18">
            <v>6.92E-7</v>
          </cell>
          <cell r="Q18">
            <v>6.73232E-2</v>
          </cell>
          <cell r="R18">
            <v>190960</v>
          </cell>
          <cell r="S18">
            <v>0.43369999999999997</v>
          </cell>
          <cell r="T18">
            <v>1.7000000000000001E-2</v>
          </cell>
          <cell r="U18">
            <v>3.3E-3</v>
          </cell>
          <cell r="V18">
            <v>2.23E-7</v>
          </cell>
          <cell r="W18">
            <v>0.1143533</v>
          </cell>
        </row>
        <row r="19">
          <cell r="C19" t="str">
            <v>rs3617</v>
          </cell>
          <cell r="D19">
            <v>3</v>
          </cell>
          <cell r="E19">
            <v>52833805</v>
          </cell>
          <cell r="F19" t="str">
            <v>ITIH3</v>
          </cell>
          <cell r="G19" t="str">
            <v>Q315K</v>
          </cell>
          <cell r="I19" t="str">
            <v>C</v>
          </cell>
          <cell r="J19" t="str">
            <v>A</v>
          </cell>
          <cell r="L19">
            <v>225458</v>
          </cell>
          <cell r="M19">
            <v>0.54720000000000002</v>
          </cell>
          <cell r="N19">
            <v>1.3899999999999999E-2</v>
          </cell>
          <cell r="O19">
            <v>3.0000000000000001E-3</v>
          </cell>
          <cell r="P19">
            <v>2.7700000000000002E-6</v>
          </cell>
          <cell r="Q19">
            <v>0.40022659999999999</v>
          </cell>
          <cell r="R19">
            <v>192196</v>
          </cell>
          <cell r="S19">
            <v>0.54210000000000003</v>
          </cell>
          <cell r="T19">
            <v>1.72E-2</v>
          </cell>
          <cell r="U19">
            <v>3.2000000000000002E-3</v>
          </cell>
          <cell r="V19">
            <v>6.9699999999999995E-8</v>
          </cell>
          <cell r="W19">
            <v>0.77558009999999999</v>
          </cell>
        </row>
        <row r="20">
          <cell r="C20" t="str">
            <v>rs62266958</v>
          </cell>
          <cell r="D20">
            <v>3</v>
          </cell>
          <cell r="E20">
            <v>129137188</v>
          </cell>
          <cell r="F20" t="str">
            <v>EFCAB12</v>
          </cell>
          <cell r="G20" t="str">
            <v>R197H</v>
          </cell>
          <cell r="H20" t="str">
            <v>rs10804591</v>
          </cell>
          <cell r="I20" t="str">
            <v>C</v>
          </cell>
          <cell r="J20" t="str">
            <v>T</v>
          </cell>
          <cell r="L20">
            <v>226690</v>
          </cell>
          <cell r="M20">
            <v>0.93669999999999998</v>
          </cell>
          <cell r="N20">
            <v>1.7999999999999999E-2</v>
          </cell>
          <cell r="O20">
            <v>6.1000000000000004E-3</v>
          </cell>
          <cell r="P20">
            <v>3.0620000000000001E-3</v>
          </cell>
          <cell r="Q20">
            <v>9.31E-5</v>
          </cell>
          <cell r="R20">
            <v>193428</v>
          </cell>
          <cell r="S20">
            <v>0.92959999999999998</v>
          </cell>
          <cell r="T20">
            <v>1.95E-2</v>
          </cell>
          <cell r="U20">
            <v>6.1999999999999998E-3</v>
          </cell>
          <cell r="V20">
            <v>1.7639999999999999E-3</v>
          </cell>
          <cell r="W20">
            <v>7.8499999999999997E-5</v>
          </cell>
        </row>
        <row r="21">
          <cell r="C21" t="str">
            <v>rs2625973</v>
          </cell>
          <cell r="D21">
            <v>3</v>
          </cell>
          <cell r="E21">
            <v>129284818</v>
          </cell>
          <cell r="F21" t="str">
            <v>PLXND1</v>
          </cell>
          <cell r="G21" t="str">
            <v>L1412V</v>
          </cell>
          <cell r="I21" t="str">
            <v>A</v>
          </cell>
          <cell r="J21" t="str">
            <v>C</v>
          </cell>
          <cell r="L21">
            <v>226650</v>
          </cell>
          <cell r="M21">
            <v>0.7359</v>
          </cell>
          <cell r="N21">
            <v>4.4999999999999997E-3</v>
          </cell>
          <cell r="O21">
            <v>3.3999999999999998E-3</v>
          </cell>
          <cell r="P21">
            <v>0.18529999999999999</v>
          </cell>
          <cell r="Q21">
            <v>1.5699999999999999E-5</v>
          </cell>
          <cell r="R21">
            <v>193388</v>
          </cell>
          <cell r="S21">
            <v>0.72289999999999999</v>
          </cell>
          <cell r="T21">
            <v>5.1999999999999998E-3</v>
          </cell>
          <cell r="U21">
            <v>3.5999999999999999E-3</v>
          </cell>
          <cell r="V21">
            <v>0.1474</v>
          </cell>
          <cell r="W21">
            <v>1.7399999999999999E-5</v>
          </cell>
        </row>
        <row r="22">
          <cell r="C22" t="str">
            <v>rs2255703</v>
          </cell>
          <cell r="D22">
            <v>3</v>
          </cell>
          <cell r="E22">
            <v>129293256</v>
          </cell>
          <cell r="G22" t="str">
            <v>M870V</v>
          </cell>
          <cell r="I22" t="str">
            <v>T</v>
          </cell>
          <cell r="J22" t="str">
            <v>C</v>
          </cell>
          <cell r="L22">
            <v>226681</v>
          </cell>
          <cell r="M22">
            <v>0.60850000000000004</v>
          </cell>
          <cell r="N22">
            <v>3.0999999999999999E-3</v>
          </cell>
          <cell r="O22">
            <v>3.0999999999999999E-3</v>
          </cell>
          <cell r="P22">
            <v>0.31059999999999999</v>
          </cell>
          <cell r="Q22">
            <v>4.9819999999999997E-4</v>
          </cell>
          <cell r="R22">
            <v>193419</v>
          </cell>
          <cell r="S22">
            <v>0.62219999999999998</v>
          </cell>
          <cell r="T22">
            <v>4.1000000000000003E-3</v>
          </cell>
          <cell r="U22">
            <v>3.3E-3</v>
          </cell>
          <cell r="V22">
            <v>0.21540000000000001</v>
          </cell>
          <cell r="W22">
            <v>1.6200000000000001E-4</v>
          </cell>
        </row>
        <row r="23">
          <cell r="C23" t="str">
            <v>rs1804080</v>
          </cell>
          <cell r="D23">
            <v>4</v>
          </cell>
          <cell r="E23">
            <v>89625427</v>
          </cell>
          <cell r="F23" t="str">
            <v>HERC3</v>
          </cell>
          <cell r="G23" t="str">
            <v>E946Q</v>
          </cell>
          <cell r="H23" t="str">
            <v>rs9991328</v>
          </cell>
          <cell r="I23" t="str">
            <v>G</v>
          </cell>
          <cell r="J23" t="str">
            <v>C</v>
          </cell>
          <cell r="L23">
            <v>222556</v>
          </cell>
          <cell r="M23">
            <v>0.8387</v>
          </cell>
          <cell r="N23">
            <v>7.4999999999999997E-3</v>
          </cell>
          <cell r="O23">
            <v>4.1000000000000003E-3</v>
          </cell>
          <cell r="P23">
            <v>6.6119999999999998E-2</v>
          </cell>
          <cell r="Q23">
            <v>4.0799999999999999E-6</v>
          </cell>
          <cell r="R23">
            <v>189294</v>
          </cell>
          <cell r="S23">
            <v>0.83740000000000003</v>
          </cell>
          <cell r="T23">
            <v>7.7999999999999996E-3</v>
          </cell>
          <cell r="U23">
            <v>4.4000000000000003E-3</v>
          </cell>
          <cell r="V23">
            <v>7.6770000000000005E-2</v>
          </cell>
          <cell r="W23">
            <v>1.6399999999999999E-5</v>
          </cell>
        </row>
        <row r="24">
          <cell r="C24" t="str">
            <v>rs7657817</v>
          </cell>
          <cell r="D24">
            <v>4</v>
          </cell>
          <cell r="E24">
            <v>89668859</v>
          </cell>
          <cell r="F24" t="str">
            <v>FAM13A</v>
          </cell>
          <cell r="G24" t="str">
            <v>V443I</v>
          </cell>
          <cell r="I24" t="str">
            <v>C</v>
          </cell>
          <cell r="J24" t="str">
            <v>T</v>
          </cell>
          <cell r="L24">
            <v>226680</v>
          </cell>
          <cell r="M24">
            <v>0.81610000000000005</v>
          </cell>
          <cell r="N24">
            <v>5.4999999999999997E-3</v>
          </cell>
          <cell r="O24">
            <v>3.8E-3</v>
          </cell>
          <cell r="P24">
            <v>0.15210000000000001</v>
          </cell>
          <cell r="Q24">
            <v>9.5600000000000006E-5</v>
          </cell>
          <cell r="R24">
            <v>193418</v>
          </cell>
          <cell r="S24">
            <v>0.82640000000000002</v>
          </cell>
          <cell r="T24">
            <v>5.8999999999999999E-3</v>
          </cell>
          <cell r="U24">
            <v>4.1999999999999997E-3</v>
          </cell>
          <cell r="V24">
            <v>0.1656</v>
          </cell>
          <cell r="W24">
            <v>5.4400000000000001E-5</v>
          </cell>
        </row>
        <row r="25">
          <cell r="C25" t="str">
            <v>rs3733526</v>
          </cell>
          <cell r="D25">
            <v>4</v>
          </cell>
          <cell r="E25">
            <v>120528327</v>
          </cell>
          <cell r="F25" t="str">
            <v>PDE5A</v>
          </cell>
          <cell r="G25" t="str">
            <v>A41V</v>
          </cell>
          <cell r="H25" t="str">
            <v xml:space="preserve"> </v>
          </cell>
          <cell r="I25" t="str">
            <v>G</v>
          </cell>
          <cell r="J25" t="str">
            <v>A</v>
          </cell>
          <cell r="L25">
            <v>219069</v>
          </cell>
          <cell r="M25">
            <v>0.1865</v>
          </cell>
          <cell r="N25">
            <v>6.8999999999999999E-3</v>
          </cell>
          <cell r="O25">
            <v>3.8999999999999998E-3</v>
          </cell>
          <cell r="P25">
            <v>7.5170000000000001E-2</v>
          </cell>
          <cell r="Q25">
            <v>5.1836E-3</v>
          </cell>
          <cell r="R25">
            <v>185807</v>
          </cell>
          <cell r="S25">
            <v>0.188</v>
          </cell>
          <cell r="T25">
            <v>1.06E-2</v>
          </cell>
          <cell r="U25">
            <v>4.1999999999999997E-3</v>
          </cell>
          <cell r="V25">
            <v>1.091E-2</v>
          </cell>
          <cell r="W25">
            <v>2.85335E-2</v>
          </cell>
        </row>
        <row r="26">
          <cell r="C26" t="str">
            <v>rs1966265</v>
          </cell>
          <cell r="D26">
            <v>5</v>
          </cell>
          <cell r="E26">
            <v>176516631</v>
          </cell>
          <cell r="F26" t="str">
            <v>FGFR4</v>
          </cell>
          <cell r="G26" t="str">
            <v>V10I</v>
          </cell>
          <cell r="H26" t="str">
            <v>rs6556301</v>
          </cell>
          <cell r="I26" t="str">
            <v>A</v>
          </cell>
          <cell r="J26" t="str">
            <v>G</v>
          </cell>
          <cell r="L26">
            <v>209944</v>
          </cell>
          <cell r="M26">
            <v>0.23799999999999999</v>
          </cell>
          <cell r="N26">
            <v>2.6100000000000002E-2</v>
          </cell>
          <cell r="O26">
            <v>3.5999999999999999E-3</v>
          </cell>
          <cell r="P26">
            <v>4.51E-13</v>
          </cell>
          <cell r="Q26">
            <v>0.20593120000000001</v>
          </cell>
          <cell r="R26">
            <v>193321</v>
          </cell>
          <cell r="S26">
            <v>0.23769999999999999</v>
          </cell>
          <cell r="T26">
            <v>2.5600000000000001E-2</v>
          </cell>
          <cell r="U26">
            <v>3.7000000000000002E-3</v>
          </cell>
          <cell r="V26">
            <v>7.1E-12</v>
          </cell>
          <cell r="W26">
            <v>0.1842374</v>
          </cell>
        </row>
        <row r="27">
          <cell r="C27" t="str">
            <v>rs142342609</v>
          </cell>
          <cell r="D27">
            <v>5</v>
          </cell>
          <cell r="E27">
            <v>180017643</v>
          </cell>
          <cell r="F27" t="str">
            <v>SCGB3A1</v>
          </cell>
          <cell r="G27" t="str">
            <v>G83D</v>
          </cell>
          <cell r="I27" t="str">
            <v>T</v>
          </cell>
          <cell r="J27" t="str">
            <v>C</v>
          </cell>
          <cell r="L27">
            <v>97989</v>
          </cell>
          <cell r="M27">
            <v>1E-3</v>
          </cell>
          <cell r="N27">
            <v>0.35089999999999999</v>
          </cell>
          <cell r="O27">
            <v>7.2499999999999995E-2</v>
          </cell>
          <cell r="P27">
            <v>1.2899999999999999E-6</v>
          </cell>
          <cell r="Q27">
            <v>1.6786499999999999E-2</v>
          </cell>
          <cell r="R27">
            <v>68930</v>
          </cell>
          <cell r="S27">
            <v>1.2999999999999999E-3</v>
          </cell>
          <cell r="T27">
            <v>0.37969999999999998</v>
          </cell>
          <cell r="U27">
            <v>7.6700000000000004E-2</v>
          </cell>
          <cell r="V27">
            <v>7.3200000000000004E-7</v>
          </cell>
          <cell r="W27">
            <v>7.6122999999999998E-3</v>
          </cell>
        </row>
        <row r="28">
          <cell r="C28" t="str">
            <v>rs1334576</v>
          </cell>
          <cell r="D28">
            <v>6</v>
          </cell>
          <cell r="E28">
            <v>7211818</v>
          </cell>
          <cell r="F28" t="str">
            <v>RREB1</v>
          </cell>
          <cell r="G28" t="str">
            <v>G195R</v>
          </cell>
          <cell r="H28" t="str">
            <v>rs1294410</v>
          </cell>
          <cell r="I28" t="str">
            <v>G</v>
          </cell>
          <cell r="J28" t="str">
            <v>A</v>
          </cell>
          <cell r="L28">
            <v>226654</v>
          </cell>
          <cell r="M28">
            <v>0.55740000000000001</v>
          </cell>
          <cell r="N28">
            <v>2.0199999999999999E-2</v>
          </cell>
          <cell r="O28">
            <v>3.0000000000000001E-3</v>
          </cell>
          <cell r="P28">
            <v>1.36E-11</v>
          </cell>
          <cell r="Q28">
            <v>0.14740420000000001</v>
          </cell>
          <cell r="R28">
            <v>193392</v>
          </cell>
          <cell r="S28">
            <v>0.57179999999999997</v>
          </cell>
          <cell r="T28">
            <v>2.0899999999999998E-2</v>
          </cell>
          <cell r="U28">
            <v>3.2000000000000002E-3</v>
          </cell>
          <cell r="V28">
            <v>1.2199999999999999E-10</v>
          </cell>
          <cell r="W28">
            <v>8.2309400000000005E-2</v>
          </cell>
        </row>
        <row r="29">
          <cell r="C29" t="str">
            <v>rs146860658</v>
          </cell>
          <cell r="D29">
            <v>6</v>
          </cell>
          <cell r="E29">
            <v>26108117</v>
          </cell>
          <cell r="F29" t="str">
            <v>HIST1H1T</v>
          </cell>
          <cell r="G29" t="str">
            <v>A69T</v>
          </cell>
          <cell r="I29" t="str">
            <v>T</v>
          </cell>
          <cell r="J29" t="str">
            <v>C</v>
          </cell>
          <cell r="L29">
            <v>104955</v>
          </cell>
          <cell r="M29">
            <v>1.5E-3</v>
          </cell>
          <cell r="N29">
            <v>0.24640000000000001</v>
          </cell>
          <cell r="O29">
            <v>5.8000000000000003E-2</v>
          </cell>
          <cell r="P29">
            <v>2.1500000000000001E-5</v>
          </cell>
          <cell r="Q29">
            <v>0.62699170000000004</v>
          </cell>
          <cell r="R29">
            <v>74835</v>
          </cell>
          <cell r="S29">
            <v>1.9E-3</v>
          </cell>
          <cell r="T29">
            <v>0.26619999999999999</v>
          </cell>
          <cell r="U29">
            <v>5.96E-2</v>
          </cell>
          <cell r="V29">
            <v>7.9899999999999997E-6</v>
          </cell>
          <cell r="W29">
            <v>0.36417680000000002</v>
          </cell>
        </row>
        <row r="30">
          <cell r="C30" t="str">
            <v>rs9469913</v>
          </cell>
          <cell r="D30">
            <v>6</v>
          </cell>
          <cell r="E30">
            <v>34827085</v>
          </cell>
          <cell r="F30" t="str">
            <v>UHRF1BP1</v>
          </cell>
          <cell r="G30" t="str">
            <v>Q984H</v>
          </cell>
          <cell r="H30" t="str">
            <v>rs1776897</v>
          </cell>
          <cell r="I30" t="str">
            <v>A</v>
          </cell>
          <cell r="J30" t="str">
            <v>T</v>
          </cell>
          <cell r="L30">
            <v>168354</v>
          </cell>
          <cell r="M30">
            <v>0.84699999999999998</v>
          </cell>
          <cell r="N30">
            <v>1.72E-2</v>
          </cell>
          <cell r="O30">
            <v>4.8999999999999998E-3</v>
          </cell>
          <cell r="P30">
            <v>4.0220000000000002E-4</v>
          </cell>
          <cell r="Q30">
            <v>0.27479439999999999</v>
          </cell>
          <cell r="R30">
            <v>141268</v>
          </cell>
          <cell r="S30">
            <v>0.83550000000000002</v>
          </cell>
          <cell r="T30">
            <v>1.7600000000000001E-2</v>
          </cell>
          <cell r="U30">
            <v>5.1000000000000004E-3</v>
          </cell>
          <cell r="V30">
            <v>5.9179999999999996E-4</v>
          </cell>
          <cell r="W30">
            <v>0.41233819999999999</v>
          </cell>
        </row>
        <row r="31">
          <cell r="C31" t="str">
            <v>rs1892172</v>
          </cell>
          <cell r="D31">
            <v>6</v>
          </cell>
          <cell r="E31">
            <v>127476516</v>
          </cell>
          <cell r="F31" t="str">
            <v>RSPO3</v>
          </cell>
          <cell r="G31" t="str">
            <v>synonymous</v>
          </cell>
          <cell r="H31" t="str">
            <v>rs11961815, rs72959041, rs1936805</v>
          </cell>
          <cell r="I31" t="str">
            <v>A</v>
          </cell>
          <cell r="J31" t="str">
            <v>G</v>
          </cell>
          <cell r="L31">
            <v>226677</v>
          </cell>
          <cell r="M31">
            <v>0.54120000000000001</v>
          </cell>
          <cell r="N31">
            <v>1.84E-2</v>
          </cell>
          <cell r="O31">
            <v>3.0000000000000001E-3</v>
          </cell>
          <cell r="P31">
            <v>5.6100000000000003E-10</v>
          </cell>
          <cell r="Q31">
            <v>7.7400000000000002E-9</v>
          </cell>
          <cell r="R31">
            <v>193415</v>
          </cell>
          <cell r="S31">
            <v>0.53990000000000005</v>
          </cell>
          <cell r="T31">
            <v>2.0400000000000001E-2</v>
          </cell>
          <cell r="U31">
            <v>3.2000000000000002E-3</v>
          </cell>
          <cell r="V31">
            <v>1.8E-10</v>
          </cell>
          <cell r="W31">
            <v>4.3700000000000001E-8</v>
          </cell>
        </row>
        <row r="32">
          <cell r="C32" t="str">
            <v>rs139745911</v>
          </cell>
          <cell r="D32">
            <v>6</v>
          </cell>
          <cell r="E32">
            <v>127767954</v>
          </cell>
          <cell r="F32" t="str">
            <v>KIAA0408</v>
          </cell>
          <cell r="G32" t="str">
            <v>P504S</v>
          </cell>
          <cell r="I32" t="str">
            <v>A</v>
          </cell>
          <cell r="J32" t="str">
            <v>G</v>
          </cell>
          <cell r="L32">
            <v>188079</v>
          </cell>
          <cell r="M32">
            <v>9.4999999999999998E-3</v>
          </cell>
          <cell r="N32">
            <v>5.7000000000000002E-2</v>
          </cell>
          <cell r="O32">
            <v>1.6799999999999999E-2</v>
          </cell>
          <cell r="P32">
            <v>6.7679999999999997E-4</v>
          </cell>
          <cell r="Q32">
            <v>1.9819999999999999E-4</v>
          </cell>
          <cell r="R32">
            <v>174652</v>
          </cell>
          <cell r="S32">
            <v>1.01E-2</v>
          </cell>
          <cell r="T32">
            <v>5.5800000000000002E-2</v>
          </cell>
          <cell r="U32">
            <v>1.6799999999999999E-2</v>
          </cell>
          <cell r="V32">
            <v>9.2279999999999999E-4</v>
          </cell>
          <cell r="W32">
            <v>1.3210000000000001E-4</v>
          </cell>
        </row>
        <row r="33">
          <cell r="C33" t="str">
            <v>rs3734447</v>
          </cell>
          <cell r="D33">
            <v>6</v>
          </cell>
          <cell r="E33">
            <v>127771452</v>
          </cell>
          <cell r="G33" t="str">
            <v>S61R</v>
          </cell>
          <cell r="I33" t="str">
            <v>G</v>
          </cell>
          <cell r="J33" t="str">
            <v>T</v>
          </cell>
          <cell r="L33">
            <v>209829</v>
          </cell>
          <cell r="M33">
            <v>0.58789999999999998</v>
          </cell>
          <cell r="N33">
            <v>8.8999999999999999E-3</v>
          </cell>
          <cell r="O33">
            <v>3.0999999999999999E-3</v>
          </cell>
          <cell r="P33">
            <v>4.1349999999999998E-3</v>
          </cell>
          <cell r="Q33">
            <v>0.90699030000000003</v>
          </cell>
          <cell r="R33">
            <v>193206</v>
          </cell>
          <cell r="S33">
            <v>0.60229999999999995</v>
          </cell>
          <cell r="T33">
            <v>9.4000000000000004E-3</v>
          </cell>
          <cell r="U33">
            <v>3.2000000000000002E-3</v>
          </cell>
          <cell r="V33">
            <v>3.8730000000000001E-3</v>
          </cell>
          <cell r="W33">
            <v>0.89201649999999999</v>
          </cell>
        </row>
        <row r="34">
          <cell r="C34" t="str">
            <v>rs2303361</v>
          </cell>
          <cell r="D34">
            <v>7</v>
          </cell>
          <cell r="E34">
            <v>6449496</v>
          </cell>
          <cell r="F34" t="str">
            <v>DAGLB</v>
          </cell>
          <cell r="G34" t="str">
            <v>Q664R</v>
          </cell>
          <cell r="I34" t="str">
            <v>C</v>
          </cell>
          <cell r="J34" t="str">
            <v>T</v>
          </cell>
          <cell r="L34">
            <v>226385</v>
          </cell>
          <cell r="M34">
            <v>0.21759999999999999</v>
          </cell>
          <cell r="N34">
            <v>6.0000000000000001E-3</v>
          </cell>
          <cell r="O34">
            <v>3.5999999999999999E-3</v>
          </cell>
          <cell r="P34">
            <v>9.3450000000000005E-2</v>
          </cell>
          <cell r="Q34">
            <v>3.3766E-3</v>
          </cell>
          <cell r="R34">
            <v>193123</v>
          </cell>
          <cell r="S34">
            <v>0.22850000000000001</v>
          </cell>
          <cell r="T34">
            <v>7.0000000000000001E-3</v>
          </cell>
          <cell r="U34">
            <v>3.8E-3</v>
          </cell>
          <cell r="V34">
            <v>6.7369999999999999E-2</v>
          </cell>
          <cell r="W34">
            <v>6.6214000000000004E-3</v>
          </cell>
        </row>
        <row r="35">
          <cell r="C35" t="str">
            <v>rs146605392</v>
          </cell>
          <cell r="D35">
            <v>7</v>
          </cell>
          <cell r="E35">
            <v>47886522</v>
          </cell>
          <cell r="F35" t="str">
            <v>PKD1L1</v>
          </cell>
          <cell r="G35" t="str">
            <v>R1703H</v>
          </cell>
          <cell r="I35" t="str">
            <v>C</v>
          </cell>
          <cell r="J35" t="str">
            <v>T</v>
          </cell>
          <cell r="L35">
            <v>205786</v>
          </cell>
          <cell r="M35">
            <v>0.99929999999999997</v>
          </cell>
          <cell r="N35">
            <v>0.30570000000000003</v>
          </cell>
          <cell r="O35">
            <v>6.6500000000000004E-2</v>
          </cell>
          <cell r="P35">
            <v>4.2599999999999999E-6</v>
          </cell>
          <cell r="Q35">
            <v>1.5277000000000001E-3</v>
          </cell>
          <cell r="R35">
            <v>173271</v>
          </cell>
          <cell r="S35">
            <v>0.99909999999999999</v>
          </cell>
          <cell r="T35">
            <v>0.3251</v>
          </cell>
          <cell r="U35">
            <v>6.7199999999999996E-2</v>
          </cell>
          <cell r="V35">
            <v>1.3400000000000001E-6</v>
          </cell>
          <cell r="W35">
            <v>1.4832999999999999E-3</v>
          </cell>
        </row>
        <row r="36">
          <cell r="C36" t="str">
            <v>rs35332062</v>
          </cell>
          <cell r="D36">
            <v>7</v>
          </cell>
          <cell r="E36">
            <v>73012042</v>
          </cell>
          <cell r="F36" t="str">
            <v>MLXIPL</v>
          </cell>
          <cell r="G36" t="str">
            <v>A358V</v>
          </cell>
          <cell r="H36" t="str">
            <v>rs6976930</v>
          </cell>
          <cell r="I36" t="str">
            <v>G</v>
          </cell>
          <cell r="J36" t="str">
            <v>A</v>
          </cell>
          <cell r="L36">
            <v>226710</v>
          </cell>
          <cell r="M36">
            <v>0.88060000000000005</v>
          </cell>
          <cell r="N36">
            <v>1.6E-2</v>
          </cell>
          <cell r="O36">
            <v>4.5999999999999999E-3</v>
          </cell>
          <cell r="P36">
            <v>5.0049999999999997E-4</v>
          </cell>
          <cell r="Q36">
            <v>0.14534749999999999</v>
          </cell>
          <cell r="R36">
            <v>193448</v>
          </cell>
          <cell r="S36">
            <v>0.87580000000000002</v>
          </cell>
          <cell r="T36">
            <v>1.6500000000000001E-2</v>
          </cell>
          <cell r="U36">
            <v>4.8999999999999998E-3</v>
          </cell>
          <cell r="V36">
            <v>7.2599999999999997E-4</v>
          </cell>
          <cell r="W36">
            <v>0.14982799999999999</v>
          </cell>
        </row>
        <row r="37">
          <cell r="C37" t="str">
            <v>rs3812316</v>
          </cell>
          <cell r="D37">
            <v>7</v>
          </cell>
          <cell r="E37">
            <v>73020337</v>
          </cell>
          <cell r="G37" t="str">
            <v>Q241H</v>
          </cell>
          <cell r="I37" t="str">
            <v>C</v>
          </cell>
          <cell r="J37" t="str">
            <v>G</v>
          </cell>
          <cell r="L37">
            <v>215797</v>
          </cell>
          <cell r="M37">
            <v>0.88160000000000005</v>
          </cell>
          <cell r="N37">
            <v>1.5100000000000001E-2</v>
          </cell>
          <cell r="O37">
            <v>4.7000000000000002E-3</v>
          </cell>
          <cell r="P37">
            <v>1.431E-3</v>
          </cell>
          <cell r="Q37">
            <v>5.7995199999999997E-2</v>
          </cell>
          <cell r="R37">
            <v>182535</v>
          </cell>
          <cell r="S37">
            <v>0.87590000000000001</v>
          </cell>
          <cell r="T37">
            <v>1.55E-2</v>
          </cell>
          <cell r="U37">
            <v>5.0000000000000001E-3</v>
          </cell>
          <cell r="V37">
            <v>2.0639999999999999E-3</v>
          </cell>
          <cell r="W37">
            <v>6.2659699999999999E-2</v>
          </cell>
        </row>
        <row r="38">
          <cell r="C38" t="str">
            <v>rs1935</v>
          </cell>
          <cell r="D38">
            <v>10</v>
          </cell>
          <cell r="E38">
            <v>64927823</v>
          </cell>
          <cell r="F38" t="str">
            <v>JMJD1C</v>
          </cell>
          <cell r="G38" t="str">
            <v>E2535D</v>
          </cell>
          <cell r="I38" t="str">
            <v>C</v>
          </cell>
          <cell r="J38" t="str">
            <v>G</v>
          </cell>
          <cell r="L38">
            <v>222526</v>
          </cell>
          <cell r="M38">
            <v>0.51800000000000002</v>
          </cell>
          <cell r="N38">
            <v>5.8999999999999999E-3</v>
          </cell>
          <cell r="O38">
            <v>3.0000000000000001E-3</v>
          </cell>
          <cell r="P38">
            <v>5.0020000000000002E-2</v>
          </cell>
          <cell r="Q38">
            <v>9.6274200000000004E-2</v>
          </cell>
          <cell r="R38">
            <v>189264</v>
          </cell>
          <cell r="S38">
            <v>0.51690000000000003</v>
          </cell>
          <cell r="T38">
            <v>8.0000000000000002E-3</v>
          </cell>
          <cell r="U38">
            <v>3.3E-3</v>
          </cell>
          <cell r="V38">
            <v>1.44E-2</v>
          </cell>
          <cell r="W38">
            <v>0.22076309999999999</v>
          </cell>
        </row>
        <row r="39">
          <cell r="C39" t="str">
            <v>rs17417407</v>
          </cell>
          <cell r="D39">
            <v>10</v>
          </cell>
          <cell r="E39">
            <v>95931087</v>
          </cell>
          <cell r="F39" t="str">
            <v>PLCE1</v>
          </cell>
          <cell r="G39" t="str">
            <v>R240L</v>
          </cell>
          <cell r="H39" t="str">
            <v>rs10786152</v>
          </cell>
          <cell r="I39" t="str">
            <v>T</v>
          </cell>
          <cell r="J39" t="str">
            <v>G</v>
          </cell>
          <cell r="L39">
            <v>226727</v>
          </cell>
          <cell r="M39">
            <v>0.17680000000000001</v>
          </cell>
          <cell r="N39">
            <v>1.67E-2</v>
          </cell>
          <cell r="O39">
            <v>3.8999999999999998E-3</v>
          </cell>
          <cell r="P39">
            <v>1.8499999999999999E-5</v>
          </cell>
          <cell r="Q39">
            <v>0.59136100000000003</v>
          </cell>
          <cell r="R39">
            <v>193465</v>
          </cell>
          <cell r="S39">
            <v>0.1628</v>
          </cell>
          <cell r="T39">
            <v>1.8599999999999998E-2</v>
          </cell>
          <cell r="U39">
            <v>4.3E-3</v>
          </cell>
          <cell r="V39">
            <v>1.8E-5</v>
          </cell>
          <cell r="W39">
            <v>0.7216205</v>
          </cell>
        </row>
        <row r="40">
          <cell r="C40" t="str">
            <v>rs284860</v>
          </cell>
          <cell r="D40">
            <v>10</v>
          </cell>
          <cell r="E40">
            <v>104572963</v>
          </cell>
          <cell r="F40" t="str">
            <v>WBP1L</v>
          </cell>
          <cell r="G40" t="str">
            <v>S323P</v>
          </cell>
          <cell r="H40" t="str">
            <v>rs3862030, rs7917772, rs6163</v>
          </cell>
          <cell r="I40" t="str">
            <v>T</v>
          </cell>
          <cell r="J40" t="str">
            <v>C</v>
          </cell>
          <cell r="L40">
            <v>225335</v>
          </cell>
          <cell r="M40">
            <v>0.40570000000000001</v>
          </cell>
          <cell r="N40">
            <v>-3.8E-3</v>
          </cell>
          <cell r="O40">
            <v>3.0000000000000001E-3</v>
          </cell>
          <cell r="P40">
            <v>0.21210000000000001</v>
          </cell>
          <cell r="Q40">
            <v>6.7960000000000004E-4</v>
          </cell>
          <cell r="R40">
            <v>192073</v>
          </cell>
          <cell r="S40">
            <v>0.40550000000000003</v>
          </cell>
          <cell r="T40">
            <v>-6.1000000000000004E-3</v>
          </cell>
          <cell r="U40">
            <v>3.3E-3</v>
          </cell>
          <cell r="V40">
            <v>6.2539999999999998E-2</v>
          </cell>
          <cell r="W40">
            <v>3.4E-5</v>
          </cell>
        </row>
        <row r="41">
          <cell r="C41" t="str">
            <v>rs138315382</v>
          </cell>
          <cell r="D41">
            <v>10</v>
          </cell>
          <cell r="E41">
            <v>123279643</v>
          </cell>
          <cell r="F41" t="str">
            <v>FGFR2</v>
          </cell>
          <cell r="G41" t="str">
            <v>synonymous</v>
          </cell>
          <cell r="I41" t="str">
            <v>T</v>
          </cell>
          <cell r="J41" t="str">
            <v>C</v>
          </cell>
          <cell r="L41">
            <v>113541</v>
          </cell>
          <cell r="M41">
            <v>1.1000000000000001E-3</v>
          </cell>
          <cell r="N41">
            <v>0.32750000000000001</v>
          </cell>
          <cell r="O41">
            <v>6.5100000000000005E-2</v>
          </cell>
          <cell r="P41">
            <v>4.89E-7</v>
          </cell>
          <cell r="Q41">
            <v>0.10897859999999999</v>
          </cell>
          <cell r="R41">
            <v>83489</v>
          </cell>
          <cell r="S41">
            <v>1.2999999999999999E-3</v>
          </cell>
          <cell r="T41">
            <v>0.36580000000000001</v>
          </cell>
          <cell r="U41">
            <v>6.88E-2</v>
          </cell>
          <cell r="V41">
            <v>1.04E-7</v>
          </cell>
          <cell r="W41">
            <v>3.6247099999999997E-2</v>
          </cell>
        </row>
        <row r="42">
          <cell r="C42" t="str">
            <v>rs35169799</v>
          </cell>
          <cell r="D42">
            <v>11</v>
          </cell>
          <cell r="E42">
            <v>64031241</v>
          </cell>
          <cell r="F42" t="str">
            <v>PLCB3</v>
          </cell>
          <cell r="G42" t="str">
            <v>S778L</v>
          </cell>
          <cell r="H42" t="str">
            <v>rs11231693</v>
          </cell>
          <cell r="I42" t="str">
            <v>T</v>
          </cell>
          <cell r="J42" t="str">
            <v>C</v>
          </cell>
          <cell r="L42">
            <v>226713</v>
          </cell>
          <cell r="M42">
            <v>6.08E-2</v>
          </cell>
          <cell r="N42">
            <v>1.61E-2</v>
          </cell>
          <cell r="O42">
            <v>6.1999999999999998E-3</v>
          </cell>
          <cell r="P42">
            <v>9.5600000000000008E-3</v>
          </cell>
          <cell r="Q42">
            <v>1.27E-4</v>
          </cell>
          <cell r="R42">
            <v>193451</v>
          </cell>
          <cell r="S42">
            <v>6.7100000000000007E-2</v>
          </cell>
          <cell r="T42">
            <v>1.2200000000000001E-2</v>
          </cell>
          <cell r="U42">
            <v>6.4000000000000003E-3</v>
          </cell>
          <cell r="V42">
            <v>5.7829999999999999E-2</v>
          </cell>
          <cell r="W42">
            <v>2.4600000000000002E-5</v>
          </cell>
        </row>
        <row r="43">
          <cell r="C43" t="str">
            <v>rs7114037</v>
          </cell>
          <cell r="D43">
            <v>11</v>
          </cell>
          <cell r="E43">
            <v>65403651</v>
          </cell>
          <cell r="F43" t="str">
            <v>PCNXL3</v>
          </cell>
          <cell r="G43" t="str">
            <v>H1822Q</v>
          </cell>
          <cell r="I43" t="str">
            <v>C</v>
          </cell>
          <cell r="J43" t="str">
            <v>A</v>
          </cell>
          <cell r="L43">
            <v>222814</v>
          </cell>
          <cell r="M43">
            <v>0.95499999999999996</v>
          </cell>
          <cell r="N43">
            <v>2.4199999999999999E-2</v>
          </cell>
          <cell r="O43">
            <v>7.3000000000000001E-3</v>
          </cell>
          <cell r="P43">
            <v>8.518E-4</v>
          </cell>
          <cell r="Q43">
            <v>0.43734580000000001</v>
          </cell>
          <cell r="R43">
            <v>189552</v>
          </cell>
          <cell r="S43">
            <v>0.94930000000000003</v>
          </cell>
          <cell r="T43">
            <v>2.5000000000000001E-2</v>
          </cell>
          <cell r="U43">
            <v>7.4000000000000003E-3</v>
          </cell>
          <cell r="V43">
            <v>6.9850000000000001E-4</v>
          </cell>
          <cell r="W43">
            <v>0.54766959999999998</v>
          </cell>
        </row>
        <row r="44">
          <cell r="C44" t="str">
            <v>rs145878042</v>
          </cell>
          <cell r="D44">
            <v>12</v>
          </cell>
          <cell r="E44">
            <v>48143315</v>
          </cell>
          <cell r="F44" t="str">
            <v>RAPGEF3</v>
          </cell>
          <cell r="G44" t="str">
            <v>L300P</v>
          </cell>
          <cell r="I44" t="str">
            <v>A</v>
          </cell>
          <cell r="J44" t="str">
            <v>G</v>
          </cell>
          <cell r="L44">
            <v>224600</v>
          </cell>
          <cell r="M44">
            <v>0.98960000000000004</v>
          </cell>
          <cell r="N44">
            <v>5.3499999999999999E-2</v>
          </cell>
          <cell r="O44">
            <v>1.47E-2</v>
          </cell>
          <cell r="P44">
            <v>2.6659999999999998E-4</v>
          </cell>
          <cell r="Q44">
            <v>7.3485E-3</v>
          </cell>
          <cell r="R44">
            <v>191338</v>
          </cell>
          <cell r="S44">
            <v>0.98829999999999996</v>
          </cell>
          <cell r="T44">
            <v>4.9700000000000001E-2</v>
          </cell>
          <cell r="U44">
            <v>1.4999999999999999E-2</v>
          </cell>
          <cell r="V44">
            <v>8.8670000000000003E-4</v>
          </cell>
          <cell r="W44">
            <v>4.2421000000000004E-3</v>
          </cell>
        </row>
        <row r="45">
          <cell r="C45" t="str">
            <v>rs3764002</v>
          </cell>
          <cell r="D45">
            <v>12</v>
          </cell>
          <cell r="E45">
            <v>108618630</v>
          </cell>
          <cell r="F45" t="str">
            <v>WSCD2</v>
          </cell>
          <cell r="G45" t="str">
            <v>T266I</v>
          </cell>
          <cell r="I45" t="str">
            <v>C</v>
          </cell>
          <cell r="J45" t="str">
            <v>T</v>
          </cell>
          <cell r="L45">
            <v>226691</v>
          </cell>
          <cell r="M45">
            <v>0.72899999999999998</v>
          </cell>
          <cell r="N45">
            <v>1.6500000000000001E-2</v>
          </cell>
          <cell r="O45">
            <v>3.3999999999999998E-3</v>
          </cell>
          <cell r="P45">
            <v>8.9100000000000002E-7</v>
          </cell>
          <cell r="Q45">
            <v>0.5513747</v>
          </cell>
          <cell r="R45">
            <v>193429</v>
          </cell>
          <cell r="S45">
            <v>0.73399999999999999</v>
          </cell>
          <cell r="T45">
            <v>1.6199999999999999E-2</v>
          </cell>
          <cell r="U45">
            <v>3.5999999999999999E-3</v>
          </cell>
          <cell r="V45">
            <v>7.5299999999999999E-6</v>
          </cell>
          <cell r="W45">
            <v>0.61080420000000002</v>
          </cell>
        </row>
        <row r="46">
          <cell r="C46" t="str">
            <v>rs1798192</v>
          </cell>
          <cell r="D46">
            <v>12</v>
          </cell>
          <cell r="E46">
            <v>123200768</v>
          </cell>
          <cell r="F46" t="str">
            <v>HCAR3</v>
          </cell>
          <cell r="G46" t="str">
            <v>T173P</v>
          </cell>
          <cell r="H46" t="str">
            <v>rs4765219, rs863750</v>
          </cell>
          <cell r="I46" t="str">
            <v>T</v>
          </cell>
          <cell r="J46" t="str">
            <v>G</v>
          </cell>
          <cell r="L46">
            <v>210046</v>
          </cell>
          <cell r="M46">
            <v>0.44540000000000002</v>
          </cell>
          <cell r="N46">
            <v>4.3E-3</v>
          </cell>
          <cell r="O46">
            <v>4.7000000000000002E-3</v>
          </cell>
          <cell r="P46">
            <v>0.36549999999999999</v>
          </cell>
          <cell r="Q46">
            <v>6.7552999999999997E-3</v>
          </cell>
          <cell r="R46">
            <v>193423</v>
          </cell>
          <cell r="S46">
            <v>0.43509999999999999</v>
          </cell>
          <cell r="T46">
            <v>6.6E-3</v>
          </cell>
          <cell r="U46">
            <v>4.8999999999999998E-3</v>
          </cell>
          <cell r="V46">
            <v>0.1734</v>
          </cell>
          <cell r="W46">
            <v>6.6847E-3</v>
          </cell>
        </row>
        <row r="47">
          <cell r="C47" t="str">
            <v>rs58843120</v>
          </cell>
          <cell r="D47">
            <v>12</v>
          </cell>
          <cell r="E47">
            <v>123444507</v>
          </cell>
          <cell r="F47" t="str">
            <v>ABCB9</v>
          </cell>
          <cell r="G47" t="str">
            <v>F92L</v>
          </cell>
          <cell r="I47" t="str">
            <v>G</v>
          </cell>
          <cell r="J47" t="str">
            <v>T</v>
          </cell>
          <cell r="L47">
            <v>219520</v>
          </cell>
          <cell r="M47">
            <v>0.98740000000000006</v>
          </cell>
          <cell r="N47">
            <v>4.3499999999999997E-2</v>
          </cell>
          <cell r="O47">
            <v>1.37E-2</v>
          </cell>
          <cell r="P47">
            <v>1.4580000000000001E-3</v>
          </cell>
          <cell r="Q47">
            <v>0.35055969999999997</v>
          </cell>
          <cell r="R47">
            <v>187550</v>
          </cell>
          <cell r="S47">
            <v>0.98640000000000005</v>
          </cell>
          <cell r="T47">
            <v>4.6100000000000002E-2</v>
          </cell>
          <cell r="U47">
            <v>1.4200000000000001E-2</v>
          </cell>
          <cell r="V47">
            <v>1.1609999999999999E-3</v>
          </cell>
          <cell r="W47">
            <v>0.36059089999999999</v>
          </cell>
        </row>
        <row r="48">
          <cell r="C48" t="str">
            <v>rs11057353</v>
          </cell>
          <cell r="D48">
            <v>12</v>
          </cell>
          <cell r="E48">
            <v>124265687</v>
          </cell>
          <cell r="F48" t="str">
            <v>DNAH10</v>
          </cell>
          <cell r="G48" t="str">
            <v>S228P</v>
          </cell>
          <cell r="I48" t="str">
            <v>T</v>
          </cell>
          <cell r="J48" t="str">
            <v>C</v>
          </cell>
          <cell r="L48">
            <v>226659</v>
          </cell>
          <cell r="M48">
            <v>0.36990000000000001</v>
          </cell>
          <cell r="N48">
            <v>5.3E-3</v>
          </cell>
          <cell r="O48">
            <v>3.0999999999999999E-3</v>
          </cell>
          <cell r="P48">
            <v>8.344E-2</v>
          </cell>
          <cell r="Q48">
            <v>2.6799999999999998E-8</v>
          </cell>
          <cell r="R48">
            <v>193397</v>
          </cell>
          <cell r="S48">
            <v>0.37869999999999998</v>
          </cell>
          <cell r="T48">
            <v>5.0000000000000001E-3</v>
          </cell>
          <cell r="U48">
            <v>3.3E-3</v>
          </cell>
          <cell r="V48">
            <v>0.1293</v>
          </cell>
          <cell r="W48">
            <v>3.8199999999999998E-8</v>
          </cell>
        </row>
        <row r="49">
          <cell r="C49" t="str">
            <v>rs34934281</v>
          </cell>
          <cell r="D49">
            <v>12</v>
          </cell>
          <cell r="E49">
            <v>124330311</v>
          </cell>
          <cell r="G49" t="str">
            <v>T1785M</v>
          </cell>
          <cell r="I49" t="str">
            <v>C</v>
          </cell>
          <cell r="J49" t="str">
            <v>T</v>
          </cell>
          <cell r="L49">
            <v>226682</v>
          </cell>
          <cell r="M49">
            <v>0.89129999999999998</v>
          </cell>
          <cell r="N49">
            <v>6.3E-3</v>
          </cell>
          <cell r="O49">
            <v>4.7999999999999996E-3</v>
          </cell>
          <cell r="P49">
            <v>0.18579999999999999</v>
          </cell>
          <cell r="Q49">
            <v>3.1300000000000002E-8</v>
          </cell>
          <cell r="R49">
            <v>193420</v>
          </cell>
          <cell r="S49">
            <v>0.8831</v>
          </cell>
          <cell r="T49">
            <v>5.8999999999999999E-3</v>
          </cell>
          <cell r="U49">
            <v>5.0000000000000001E-3</v>
          </cell>
          <cell r="V49">
            <v>0.23269999999999999</v>
          </cell>
          <cell r="W49">
            <v>3.9300000000000001E-8</v>
          </cell>
        </row>
        <row r="50">
          <cell r="C50" t="str">
            <v>rs11057401</v>
          </cell>
          <cell r="D50">
            <v>12</v>
          </cell>
          <cell r="E50">
            <v>124427306</v>
          </cell>
          <cell r="F50" t="str">
            <v>CCDC92</v>
          </cell>
          <cell r="G50" t="str">
            <v>S53C</v>
          </cell>
          <cell r="I50" t="str">
            <v>T</v>
          </cell>
          <cell r="J50" t="str">
            <v>A</v>
          </cell>
          <cell r="L50">
            <v>223324</v>
          </cell>
          <cell r="M50">
            <v>0.70079999999999998</v>
          </cell>
          <cell r="N50">
            <v>1.34E-2</v>
          </cell>
          <cell r="O50">
            <v>3.3E-3</v>
          </cell>
          <cell r="P50">
            <v>4.2500000000000003E-5</v>
          </cell>
          <cell r="Q50">
            <v>5.4899999999999999E-11</v>
          </cell>
          <cell r="R50">
            <v>190062</v>
          </cell>
          <cell r="S50">
            <v>0.68689999999999996</v>
          </cell>
          <cell r="T50">
            <v>1.4200000000000001E-2</v>
          </cell>
          <cell r="U50">
            <v>3.5000000000000001E-3</v>
          </cell>
          <cell r="V50">
            <v>4.71E-5</v>
          </cell>
          <cell r="W50">
            <v>7.1699999999999995E-11</v>
          </cell>
        </row>
        <row r="51">
          <cell r="C51" t="str">
            <v>rs148108950</v>
          </cell>
          <cell r="D51">
            <v>13</v>
          </cell>
          <cell r="E51">
            <v>96665697</v>
          </cell>
          <cell r="F51" t="str">
            <v>UGGT2</v>
          </cell>
          <cell r="G51" t="str">
            <v>P175L</v>
          </cell>
          <cell r="I51" t="str">
            <v>A</v>
          </cell>
          <cell r="J51" t="str">
            <v>G</v>
          </cell>
          <cell r="L51">
            <v>203009</v>
          </cell>
          <cell r="M51">
            <v>5.4999999999999997E-3</v>
          </cell>
          <cell r="N51">
            <v>0.12989999999999999</v>
          </cell>
          <cell r="O51">
            <v>2.4E-2</v>
          </cell>
          <cell r="P51">
            <v>6.1399999999999994E-8</v>
          </cell>
          <cell r="Q51">
            <v>1.53E-6</v>
          </cell>
          <cell r="R51">
            <v>172943</v>
          </cell>
          <cell r="S51">
            <v>7.0000000000000001E-3</v>
          </cell>
          <cell r="T51">
            <v>0.1293</v>
          </cell>
          <cell r="U51">
            <v>2.4E-2</v>
          </cell>
          <cell r="V51">
            <v>7.1600000000000006E-8</v>
          </cell>
          <cell r="W51">
            <v>7.2600000000000002E-7</v>
          </cell>
        </row>
        <row r="52">
          <cell r="C52" t="str">
            <v>rs1042704</v>
          </cell>
          <cell r="D52">
            <v>14</v>
          </cell>
          <cell r="E52">
            <v>23312594</v>
          </cell>
          <cell r="F52" t="str">
            <v>MMP14</v>
          </cell>
          <cell r="G52" t="str">
            <v>D273N</v>
          </cell>
          <cell r="I52" t="str">
            <v>A</v>
          </cell>
          <cell r="J52" t="str">
            <v>G</v>
          </cell>
          <cell r="L52">
            <v>226646</v>
          </cell>
          <cell r="M52">
            <v>0.20169999999999999</v>
          </cell>
          <cell r="N52">
            <v>2.06E-2</v>
          </cell>
          <cell r="O52">
            <v>3.7000000000000002E-3</v>
          </cell>
          <cell r="P52">
            <v>2.6000000000000001E-8</v>
          </cell>
          <cell r="Q52">
            <v>2.6069999999999999E-4</v>
          </cell>
          <cell r="R52">
            <v>193384</v>
          </cell>
          <cell r="S52">
            <v>0.20669999999999999</v>
          </cell>
          <cell r="T52">
            <v>2.1000000000000001E-2</v>
          </cell>
          <cell r="U52">
            <v>3.8999999999999998E-3</v>
          </cell>
          <cell r="V52">
            <v>1.01E-7</v>
          </cell>
          <cell r="W52">
            <v>7.3760000000000004E-4</v>
          </cell>
        </row>
        <row r="53">
          <cell r="C53" t="str">
            <v>rs1051860</v>
          </cell>
          <cell r="D53">
            <v>14</v>
          </cell>
          <cell r="E53">
            <v>58838668</v>
          </cell>
          <cell r="F53" t="str">
            <v>ARID4A</v>
          </cell>
          <cell r="G53" t="str">
            <v>synonymous</v>
          </cell>
          <cell r="I53" t="str">
            <v>A</v>
          </cell>
          <cell r="J53" t="str">
            <v>G</v>
          </cell>
          <cell r="L53">
            <v>197674</v>
          </cell>
          <cell r="M53">
            <v>0.41270000000000001</v>
          </cell>
          <cell r="N53">
            <v>7.6E-3</v>
          </cell>
          <cell r="O53">
            <v>3.2000000000000002E-3</v>
          </cell>
          <cell r="P53">
            <v>1.729E-2</v>
          </cell>
          <cell r="Q53">
            <v>0.123918</v>
          </cell>
          <cell r="R53">
            <v>165473</v>
          </cell>
          <cell r="S53">
            <v>0.41310000000000002</v>
          </cell>
          <cell r="T53">
            <v>9.4999999999999998E-3</v>
          </cell>
          <cell r="U53">
            <v>3.5000000000000001E-3</v>
          </cell>
          <cell r="V53">
            <v>6.8669999999999998E-3</v>
          </cell>
          <cell r="W53">
            <v>0.126083</v>
          </cell>
        </row>
        <row r="54">
          <cell r="C54" t="str">
            <v>rs148151659</v>
          </cell>
          <cell r="D54">
            <v>14</v>
          </cell>
          <cell r="E54">
            <v>99876522</v>
          </cell>
          <cell r="F54" t="str">
            <v>SETD3</v>
          </cell>
          <cell r="G54" t="str">
            <v>A294T</v>
          </cell>
          <cell r="I54" t="str">
            <v>C</v>
          </cell>
          <cell r="J54" t="str">
            <v>T</v>
          </cell>
          <cell r="L54">
            <v>147752</v>
          </cell>
          <cell r="M54">
            <v>0.99990000000000001</v>
          </cell>
          <cell r="N54">
            <v>0.1226</v>
          </cell>
          <cell r="O54">
            <v>0.23580000000000001</v>
          </cell>
          <cell r="P54">
            <v>0.60309999999999997</v>
          </cell>
          <cell r="Q54">
            <v>6.1260000000000004E-3</v>
          </cell>
          <cell r="R54">
            <v>116625</v>
          </cell>
          <cell r="S54">
            <v>0.99990000000000001</v>
          </cell>
          <cell r="T54">
            <v>0.13880000000000001</v>
          </cell>
          <cell r="U54">
            <v>0.2427</v>
          </cell>
          <cell r="V54">
            <v>0.5675</v>
          </cell>
          <cell r="W54">
            <v>6.0023999999999997E-3</v>
          </cell>
        </row>
        <row r="55">
          <cell r="C55" t="str">
            <v>rs17677991</v>
          </cell>
          <cell r="D55">
            <v>15</v>
          </cell>
          <cell r="E55">
            <v>42032383</v>
          </cell>
          <cell r="F55" t="str">
            <v>MGA</v>
          </cell>
          <cell r="G55" t="str">
            <v>P1523A</v>
          </cell>
          <cell r="I55" t="str">
            <v>G</v>
          </cell>
          <cell r="J55" t="str">
            <v>C</v>
          </cell>
          <cell r="L55">
            <v>223581</v>
          </cell>
          <cell r="M55">
            <v>0.34749999999999998</v>
          </cell>
          <cell r="N55">
            <v>1.44E-2</v>
          </cell>
          <cell r="O55">
            <v>3.0999999999999999E-3</v>
          </cell>
          <cell r="P55">
            <v>4.3100000000000002E-6</v>
          </cell>
          <cell r="Q55">
            <v>0.90847120000000003</v>
          </cell>
          <cell r="R55">
            <v>190319</v>
          </cell>
          <cell r="S55">
            <v>0.3569</v>
          </cell>
          <cell r="T55">
            <v>1.6899999999999998E-2</v>
          </cell>
          <cell r="U55">
            <v>3.3999999999999998E-3</v>
          </cell>
          <cell r="V55">
            <v>5.6499999999999999E-7</v>
          </cell>
          <cell r="W55">
            <v>0.93118140000000005</v>
          </cell>
        </row>
        <row r="56">
          <cell r="C56" t="str">
            <v>rs3959569</v>
          </cell>
          <cell r="D56">
            <v>15</v>
          </cell>
          <cell r="E56">
            <v>42115747</v>
          </cell>
          <cell r="F56" t="str">
            <v>MAPKBP1</v>
          </cell>
          <cell r="G56" t="str">
            <v>R1240H</v>
          </cell>
          <cell r="I56" t="str">
            <v>C</v>
          </cell>
          <cell r="J56" t="str">
            <v>G</v>
          </cell>
          <cell r="L56">
            <v>142180</v>
          </cell>
          <cell r="M56">
            <v>0.31290000000000001</v>
          </cell>
          <cell r="N56">
            <v>1.17E-2</v>
          </cell>
          <cell r="O56">
            <v>4.1000000000000003E-3</v>
          </cell>
          <cell r="P56">
            <v>4.4799999999999996E-3</v>
          </cell>
          <cell r="Q56">
            <v>0.41386669999999998</v>
          </cell>
          <cell r="R56">
            <v>113503</v>
          </cell>
          <cell r="S56">
            <v>0.3508</v>
          </cell>
          <cell r="T56">
            <v>1.5800000000000002E-2</v>
          </cell>
          <cell r="U56">
            <v>4.4999999999999997E-3</v>
          </cell>
          <cell r="V56">
            <v>4.4789999999999999E-4</v>
          </cell>
          <cell r="W56">
            <v>0.63485380000000002</v>
          </cell>
        </row>
        <row r="57">
          <cell r="C57" t="str">
            <v>rs12593397</v>
          </cell>
          <cell r="D57">
            <v>15</v>
          </cell>
          <cell r="E57">
            <v>42166500</v>
          </cell>
          <cell r="F57" t="str">
            <v>SPTBN5</v>
          </cell>
          <cell r="G57" t="str">
            <v>R1560H</v>
          </cell>
          <cell r="I57" t="str">
            <v>T</v>
          </cell>
          <cell r="J57" t="str">
            <v>C</v>
          </cell>
          <cell r="L57">
            <v>219110</v>
          </cell>
          <cell r="M57">
            <v>0.43630000000000002</v>
          </cell>
          <cell r="N57">
            <v>5.1999999999999998E-3</v>
          </cell>
          <cell r="O57">
            <v>3.0999999999999999E-3</v>
          </cell>
          <cell r="P57">
            <v>9.0929999999999997E-2</v>
          </cell>
          <cell r="Q57">
            <v>3.4396299999999998E-2</v>
          </cell>
          <cell r="R57">
            <v>185848</v>
          </cell>
          <cell r="S57">
            <v>0.44330000000000003</v>
          </cell>
          <cell r="T57">
            <v>7.3000000000000001E-3</v>
          </cell>
          <cell r="U57">
            <v>3.3E-3</v>
          </cell>
          <cell r="V57">
            <v>2.6419999999999999E-2</v>
          </cell>
          <cell r="W57">
            <v>0.1477996</v>
          </cell>
        </row>
        <row r="58">
          <cell r="C58" t="str">
            <v>rs1715919</v>
          </cell>
          <cell r="D58">
            <v>15</v>
          </cell>
          <cell r="E58">
            <v>56756285</v>
          </cell>
          <cell r="F58" t="str">
            <v>MNS1</v>
          </cell>
          <cell r="G58" t="str">
            <v>Q55P</v>
          </cell>
          <cell r="H58" t="str">
            <v>rs8030605</v>
          </cell>
          <cell r="I58" t="str">
            <v>G</v>
          </cell>
          <cell r="J58" t="str">
            <v>T</v>
          </cell>
          <cell r="L58">
            <v>226632</v>
          </cell>
          <cell r="M58">
            <v>9.3100000000000002E-2</v>
          </cell>
          <cell r="N58">
            <v>1.4500000000000001E-2</v>
          </cell>
          <cell r="O58">
            <v>5.1000000000000004E-3</v>
          </cell>
          <cell r="P58">
            <v>4.4980000000000003E-3</v>
          </cell>
          <cell r="Q58">
            <v>2.7159900000000001E-2</v>
          </cell>
          <cell r="R58">
            <v>193370</v>
          </cell>
          <cell r="S58">
            <v>9.9099999999999994E-2</v>
          </cell>
          <cell r="T58">
            <v>1.6E-2</v>
          </cell>
          <cell r="U58">
            <v>5.3E-3</v>
          </cell>
          <cell r="V58">
            <v>2.6870000000000002E-3</v>
          </cell>
          <cell r="W58">
            <v>6.5767099999999995E-2</v>
          </cell>
        </row>
        <row r="59">
          <cell r="C59" t="str">
            <v>rs3810818</v>
          </cell>
          <cell r="D59">
            <v>16</v>
          </cell>
          <cell r="E59">
            <v>4432029</v>
          </cell>
          <cell r="F59" t="str">
            <v>VASN</v>
          </cell>
          <cell r="G59" t="str">
            <v>E384A</v>
          </cell>
          <cell r="I59" t="str">
            <v>A</v>
          </cell>
          <cell r="J59" t="str">
            <v>C</v>
          </cell>
          <cell r="L59">
            <v>207400</v>
          </cell>
          <cell r="M59">
            <v>0.23369999999999999</v>
          </cell>
          <cell r="N59">
            <v>1.34E-2</v>
          </cell>
          <cell r="O59">
            <v>3.7000000000000002E-3</v>
          </cell>
          <cell r="P59">
            <v>2.5839999999999999E-4</v>
          </cell>
          <cell r="Q59">
            <v>0.32585209999999998</v>
          </cell>
          <cell r="R59">
            <v>191078</v>
          </cell>
          <cell r="S59">
            <v>0.2243</v>
          </cell>
          <cell r="T59">
            <v>1.3599999999999999E-2</v>
          </cell>
          <cell r="U59">
            <v>3.8999999999999998E-3</v>
          </cell>
          <cell r="V59">
            <v>4.394E-4</v>
          </cell>
          <cell r="W59">
            <v>0.43192409999999998</v>
          </cell>
        </row>
        <row r="60">
          <cell r="C60" t="str">
            <v>rs3747579</v>
          </cell>
          <cell r="D60">
            <v>16</v>
          </cell>
          <cell r="E60">
            <v>4445327</v>
          </cell>
          <cell r="F60" t="str">
            <v>CORO7</v>
          </cell>
          <cell r="G60" t="str">
            <v>R193Q</v>
          </cell>
          <cell r="I60" t="str">
            <v>C</v>
          </cell>
          <cell r="J60" t="str">
            <v>T</v>
          </cell>
          <cell r="L60">
            <v>208838</v>
          </cell>
          <cell r="M60">
            <v>0.29749999999999999</v>
          </cell>
          <cell r="N60">
            <v>1.26E-2</v>
          </cell>
          <cell r="O60">
            <v>3.3999999999999998E-3</v>
          </cell>
          <cell r="P60">
            <v>2.2369999999999999E-4</v>
          </cell>
          <cell r="Q60">
            <v>4.3266300000000001E-2</v>
          </cell>
          <cell r="R60">
            <v>192215</v>
          </cell>
          <cell r="S60">
            <v>0.27910000000000001</v>
          </cell>
          <cell r="T60">
            <v>1.2800000000000001E-2</v>
          </cell>
          <cell r="U60">
            <v>3.5999999999999999E-3</v>
          </cell>
          <cell r="V60">
            <v>3.3060000000000001E-4</v>
          </cell>
          <cell r="W60">
            <v>4.8309900000000003E-2</v>
          </cell>
        </row>
        <row r="61">
          <cell r="C61" t="str">
            <v>rs1139653</v>
          </cell>
          <cell r="D61">
            <v>16</v>
          </cell>
          <cell r="E61">
            <v>4484396</v>
          </cell>
          <cell r="F61" t="str">
            <v>DNAJA3</v>
          </cell>
          <cell r="G61" t="str">
            <v>N75Y</v>
          </cell>
          <cell r="I61" t="str">
            <v>A</v>
          </cell>
          <cell r="J61" t="str">
            <v>T</v>
          </cell>
          <cell r="L61">
            <v>197716</v>
          </cell>
          <cell r="M61">
            <v>0.28620000000000001</v>
          </cell>
          <cell r="N61">
            <v>1.15E-2</v>
          </cell>
          <cell r="O61">
            <v>3.5000000000000001E-3</v>
          </cell>
          <cell r="P61">
            <v>1.0560000000000001E-3</v>
          </cell>
          <cell r="Q61">
            <v>0.14241229999999999</v>
          </cell>
          <cell r="R61">
            <v>181093</v>
          </cell>
          <cell r="S61">
            <v>0.27679999999999999</v>
          </cell>
          <cell r="T61">
            <v>1.3299999999999999E-2</v>
          </cell>
          <cell r="U61">
            <v>3.7000000000000002E-3</v>
          </cell>
          <cell r="V61">
            <v>3.3139999999999998E-4</v>
          </cell>
          <cell r="W61">
            <v>0.26770949999999999</v>
          </cell>
        </row>
        <row r="62">
          <cell r="C62" t="str">
            <v>rs1800069</v>
          </cell>
          <cell r="D62">
            <v>16</v>
          </cell>
          <cell r="E62">
            <v>14041570</v>
          </cell>
          <cell r="F62" t="str">
            <v>ERCC4</v>
          </cell>
          <cell r="G62" t="str">
            <v>I706T</v>
          </cell>
          <cell r="I62" t="str">
            <v>T</v>
          </cell>
          <cell r="J62" t="str">
            <v>C</v>
          </cell>
          <cell r="L62">
            <v>221869</v>
          </cell>
          <cell r="M62">
            <v>0.99590000000000001</v>
          </cell>
          <cell r="N62">
            <v>-4.4699999999999997E-2</v>
          </cell>
          <cell r="O62">
            <v>0.1115</v>
          </cell>
          <cell r="P62">
            <v>0.68840000000000001</v>
          </cell>
          <cell r="Q62">
            <v>0.49325219999999997</v>
          </cell>
          <cell r="R62">
            <v>188607</v>
          </cell>
          <cell r="S62">
            <v>0.99590000000000001</v>
          </cell>
          <cell r="T62">
            <v>-4.4699999999999997E-2</v>
          </cell>
          <cell r="U62">
            <v>0.1115</v>
          </cell>
          <cell r="V62">
            <v>0.68840000000000001</v>
          </cell>
          <cell r="W62">
            <v>0.49325219999999997</v>
          </cell>
        </row>
        <row r="63">
          <cell r="C63" t="str">
            <v>rs9922085</v>
          </cell>
          <cell r="D63">
            <v>16</v>
          </cell>
          <cell r="E63">
            <v>67397580</v>
          </cell>
          <cell r="F63" t="str">
            <v>LRRC36</v>
          </cell>
          <cell r="G63" t="str">
            <v>R101P</v>
          </cell>
          <cell r="H63" t="str">
            <v>rs6499129</v>
          </cell>
          <cell r="I63" t="str">
            <v>G</v>
          </cell>
          <cell r="J63" t="str">
            <v>C</v>
          </cell>
          <cell r="L63">
            <v>223357</v>
          </cell>
          <cell r="M63">
            <v>0.9425</v>
          </cell>
          <cell r="N63">
            <v>3.2099999999999997E-2</v>
          </cell>
          <cell r="O63">
            <v>6.7000000000000002E-3</v>
          </cell>
          <cell r="P63">
            <v>1.6199999999999999E-6</v>
          </cell>
          <cell r="Q63">
            <v>0.58924319999999997</v>
          </cell>
          <cell r="R63">
            <v>190095</v>
          </cell>
          <cell r="S63">
            <v>0.95640000000000003</v>
          </cell>
          <cell r="T63">
            <v>2.92E-2</v>
          </cell>
          <cell r="U63">
            <v>7.9000000000000008E-3</v>
          </cell>
          <cell r="V63">
            <v>2.143E-4</v>
          </cell>
          <cell r="W63">
            <v>0.19196240000000001</v>
          </cell>
        </row>
        <row r="64">
          <cell r="C64" t="str">
            <v>rs8052655</v>
          </cell>
          <cell r="D64">
            <v>16</v>
          </cell>
          <cell r="E64">
            <v>67409180</v>
          </cell>
          <cell r="G64" t="str">
            <v>G388S</v>
          </cell>
          <cell r="I64" t="str">
            <v>G</v>
          </cell>
          <cell r="J64" t="str">
            <v>A</v>
          </cell>
          <cell r="L64">
            <v>225505</v>
          </cell>
          <cell r="M64">
            <v>0.94269999999999998</v>
          </cell>
          <cell r="N64">
            <v>3.0300000000000001E-2</v>
          </cell>
          <cell r="O64">
            <v>6.7000000000000002E-3</v>
          </cell>
          <cell r="P64">
            <v>5.8000000000000004E-6</v>
          </cell>
          <cell r="Q64">
            <v>0.39962239999999999</v>
          </cell>
          <cell r="R64">
            <v>192243</v>
          </cell>
          <cell r="S64">
            <v>0.95660000000000001</v>
          </cell>
          <cell r="T64">
            <v>2.64E-2</v>
          </cell>
          <cell r="U64">
            <v>7.9000000000000008E-3</v>
          </cell>
          <cell r="V64">
            <v>7.8080000000000001E-4</v>
          </cell>
          <cell r="W64">
            <v>9.7632099999999999E-2</v>
          </cell>
        </row>
        <row r="65">
          <cell r="C65" t="str">
            <v>rs897453</v>
          </cell>
          <cell r="D65">
            <v>17</v>
          </cell>
          <cell r="E65">
            <v>17425631</v>
          </cell>
          <cell r="F65" t="str">
            <v>PEMT</v>
          </cell>
          <cell r="G65" t="str">
            <v>V58L</v>
          </cell>
          <cell r="H65" t="str">
            <v>rs4646404</v>
          </cell>
          <cell r="I65" t="str">
            <v>C</v>
          </cell>
          <cell r="J65" t="str">
            <v>T</v>
          </cell>
          <cell r="L65">
            <v>226756</v>
          </cell>
          <cell r="M65">
            <v>0.57509999999999994</v>
          </cell>
          <cell r="N65">
            <v>2.6200000000000001E-2</v>
          </cell>
          <cell r="O65">
            <v>5.4000000000000003E-3</v>
          </cell>
          <cell r="P65">
            <v>1.2899999999999999E-6</v>
          </cell>
          <cell r="Q65">
            <v>0.81918690000000005</v>
          </cell>
          <cell r="R65">
            <v>193494</v>
          </cell>
          <cell r="S65">
            <v>0.53949999999999998</v>
          </cell>
          <cell r="T65">
            <v>2.7099999999999999E-2</v>
          </cell>
          <cell r="U65">
            <v>5.4999999999999997E-3</v>
          </cell>
          <cell r="V65">
            <v>9.6899999999999996E-7</v>
          </cell>
          <cell r="W65">
            <v>0.78166530000000001</v>
          </cell>
        </row>
        <row r="66">
          <cell r="C66" t="str">
            <v>rs201010410</v>
          </cell>
          <cell r="D66">
            <v>19</v>
          </cell>
          <cell r="E66">
            <v>422171</v>
          </cell>
          <cell r="F66" t="str">
            <v>SHC2</v>
          </cell>
          <cell r="G66" t="str">
            <v>L532R</v>
          </cell>
          <cell r="I66" t="str">
            <v>C</v>
          </cell>
          <cell r="J66" t="str">
            <v>A</v>
          </cell>
          <cell r="L66">
            <v>90264</v>
          </cell>
          <cell r="M66">
            <v>6.9999999999999999E-4</v>
          </cell>
          <cell r="N66">
            <v>0.33129999999999998</v>
          </cell>
          <cell r="O66">
            <v>9.0499999999999997E-2</v>
          </cell>
          <cell r="P66">
            <v>2.522E-4</v>
          </cell>
          <cell r="Q66">
            <v>0.53194810000000003</v>
          </cell>
          <cell r="R66">
            <v>61587</v>
          </cell>
          <cell r="S66">
            <v>1E-3</v>
          </cell>
          <cell r="T66">
            <v>0.33090000000000003</v>
          </cell>
          <cell r="U66">
            <v>9.11E-2</v>
          </cell>
          <cell r="V66">
            <v>2.8039999999999999E-4</v>
          </cell>
          <cell r="W66">
            <v>0.56493499999999996</v>
          </cell>
        </row>
        <row r="67">
          <cell r="C67" t="str">
            <v>rs116843064</v>
          </cell>
          <cell r="D67">
            <v>19</v>
          </cell>
          <cell r="E67">
            <v>8429323</v>
          </cell>
          <cell r="F67" t="str">
            <v>ANGPTL4</v>
          </cell>
          <cell r="G67" t="str">
            <v>E40K</v>
          </cell>
          <cell r="I67" t="str">
            <v>G</v>
          </cell>
          <cell r="J67" t="str">
            <v>A</v>
          </cell>
          <cell r="L67">
            <v>203098</v>
          </cell>
          <cell r="M67">
            <v>0.98050000000000004</v>
          </cell>
          <cell r="N67">
            <v>-1.6799999999999999E-2</v>
          </cell>
          <cell r="O67">
            <v>1.1299999999999999E-2</v>
          </cell>
          <cell r="P67">
            <v>0.13780000000000001</v>
          </cell>
          <cell r="Q67">
            <v>1.3199999999999999E-7</v>
          </cell>
          <cell r="R67">
            <v>187536</v>
          </cell>
          <cell r="S67">
            <v>0.97909999999999997</v>
          </cell>
          <cell r="T67">
            <v>-1.6400000000000001E-2</v>
          </cell>
          <cell r="U67">
            <v>1.14E-2</v>
          </cell>
          <cell r="V67">
            <v>0.15129999999999999</v>
          </cell>
          <cell r="W67">
            <v>1.1000000000000001E-7</v>
          </cell>
        </row>
        <row r="68">
          <cell r="C68" t="str">
            <v>rs11554159</v>
          </cell>
          <cell r="D68">
            <v>19</v>
          </cell>
          <cell r="E68">
            <v>18285944</v>
          </cell>
          <cell r="F68" t="str">
            <v>IFI30</v>
          </cell>
          <cell r="G68" t="str">
            <v>R76Q</v>
          </cell>
          <cell r="H68" t="str">
            <v>rs12608504</v>
          </cell>
          <cell r="I68" t="str">
            <v>A</v>
          </cell>
          <cell r="J68" t="str">
            <v>G</v>
          </cell>
          <cell r="L68">
            <v>226673</v>
          </cell>
          <cell r="M68">
            <v>0.25459999999999999</v>
          </cell>
          <cell r="N68">
            <v>8.0000000000000002E-3</v>
          </cell>
          <cell r="O68">
            <v>3.3999999999999998E-3</v>
          </cell>
          <cell r="P68">
            <v>1.8599999999999998E-2</v>
          </cell>
          <cell r="Q68">
            <v>3.1164999999999999E-3</v>
          </cell>
          <cell r="R68">
            <v>193411</v>
          </cell>
          <cell r="S68">
            <v>0.26540000000000002</v>
          </cell>
          <cell r="T68">
            <v>7.4000000000000003E-3</v>
          </cell>
          <cell r="U68">
            <v>3.5999999999999999E-3</v>
          </cell>
          <cell r="V68">
            <v>4.1669999999999999E-2</v>
          </cell>
          <cell r="W68">
            <v>1.3169E-3</v>
          </cell>
        </row>
        <row r="69">
          <cell r="C69" t="str">
            <v>rs874628</v>
          </cell>
          <cell r="D69">
            <v>19</v>
          </cell>
          <cell r="E69">
            <v>18304700</v>
          </cell>
          <cell r="F69" t="str">
            <v>MPV17L2</v>
          </cell>
          <cell r="G69" t="str">
            <v>M72V</v>
          </cell>
          <cell r="I69" t="str">
            <v>G</v>
          </cell>
          <cell r="J69" t="str">
            <v>A</v>
          </cell>
          <cell r="L69">
            <v>226677</v>
          </cell>
          <cell r="M69">
            <v>0.2681</v>
          </cell>
          <cell r="N69">
            <v>8.0999999999999996E-3</v>
          </cell>
          <cell r="O69">
            <v>3.3E-3</v>
          </cell>
          <cell r="P69">
            <v>1.6029999999999999E-2</v>
          </cell>
          <cell r="Q69">
            <v>2.4946999999999999E-3</v>
          </cell>
          <cell r="R69">
            <v>193415</v>
          </cell>
          <cell r="S69">
            <v>0.28129999999999999</v>
          </cell>
          <cell r="T69">
            <v>7.6E-3</v>
          </cell>
          <cell r="U69">
            <v>3.5999999999999999E-3</v>
          </cell>
          <cell r="V69">
            <v>3.209E-2</v>
          </cell>
          <cell r="W69">
            <v>1.8418E-3</v>
          </cell>
        </row>
        <row r="70">
          <cell r="C70" t="str">
            <v>rs2287922</v>
          </cell>
          <cell r="D70">
            <v>19</v>
          </cell>
          <cell r="E70">
            <v>49232226</v>
          </cell>
          <cell r="F70" t="str">
            <v>RASIP1</v>
          </cell>
          <cell r="G70" t="str">
            <v>R601C</v>
          </cell>
          <cell r="I70" t="str">
            <v>A</v>
          </cell>
          <cell r="J70" t="str">
            <v>G</v>
          </cell>
          <cell r="L70">
            <v>194971</v>
          </cell>
          <cell r="M70">
            <v>0.4894</v>
          </cell>
          <cell r="N70">
            <v>9.1999999999999998E-3</v>
          </cell>
          <cell r="O70">
            <v>3.2000000000000002E-3</v>
          </cell>
          <cell r="P70">
            <v>4.4619999999999998E-3</v>
          </cell>
          <cell r="Q70">
            <v>3.7383899999999998E-2</v>
          </cell>
          <cell r="R70">
            <v>181135</v>
          </cell>
          <cell r="S70">
            <v>0.50929999999999997</v>
          </cell>
          <cell r="T70">
            <v>7.7999999999999996E-3</v>
          </cell>
          <cell r="U70">
            <v>3.3E-3</v>
          </cell>
          <cell r="V70">
            <v>1.8790000000000001E-2</v>
          </cell>
          <cell r="W70">
            <v>1.7865800000000001E-2</v>
          </cell>
        </row>
        <row r="71">
          <cell r="C71" t="str">
            <v>rs2307019</v>
          </cell>
          <cell r="D71">
            <v>19</v>
          </cell>
          <cell r="E71">
            <v>49244220</v>
          </cell>
          <cell r="F71" t="str">
            <v>IZUMO1</v>
          </cell>
          <cell r="G71" t="str">
            <v>A333V</v>
          </cell>
          <cell r="I71" t="str">
            <v>G</v>
          </cell>
          <cell r="J71" t="str">
            <v>A</v>
          </cell>
          <cell r="L71">
            <v>226573</v>
          </cell>
          <cell r="M71">
            <v>0.55549999999999999</v>
          </cell>
          <cell r="N71">
            <v>7.3000000000000001E-3</v>
          </cell>
          <cell r="O71">
            <v>3.0000000000000001E-3</v>
          </cell>
          <cell r="P71">
            <v>1.4760000000000001E-2</v>
          </cell>
          <cell r="Q71">
            <v>3.8723899999999999E-2</v>
          </cell>
          <cell r="R71">
            <v>193311</v>
          </cell>
          <cell r="S71">
            <v>0.56299999999999994</v>
          </cell>
          <cell r="T71">
            <v>7.7999999999999996E-3</v>
          </cell>
          <cell r="U71">
            <v>3.2000000000000002E-3</v>
          </cell>
          <cell r="V71">
            <v>1.499E-2</v>
          </cell>
          <cell r="W71">
            <v>3.5363400000000003E-2</v>
          </cell>
        </row>
        <row r="72">
          <cell r="C72" t="str">
            <v>rs4911494</v>
          </cell>
          <cell r="D72">
            <v>20</v>
          </cell>
          <cell r="E72">
            <v>33971914</v>
          </cell>
          <cell r="F72" t="str">
            <v>UQCC1</v>
          </cell>
          <cell r="G72" t="str">
            <v>R51Q</v>
          </cell>
          <cell r="H72" t="str">
            <v>rs224333</v>
          </cell>
          <cell r="I72" t="str">
            <v>T</v>
          </cell>
          <cell r="J72" t="str">
            <v>C</v>
          </cell>
          <cell r="L72">
            <v>226655</v>
          </cell>
          <cell r="M72">
            <v>0.5948</v>
          </cell>
          <cell r="N72">
            <v>2.5000000000000001E-2</v>
          </cell>
          <cell r="O72">
            <v>3.0999999999999999E-3</v>
          </cell>
          <cell r="P72">
            <v>3.1700000000000002E-16</v>
          </cell>
          <cell r="Q72">
            <v>1.5372000000000001E-3</v>
          </cell>
          <cell r="R72">
            <v>193393</v>
          </cell>
          <cell r="S72">
            <v>0.61639999999999995</v>
          </cell>
          <cell r="T72">
            <v>2.53E-2</v>
          </cell>
          <cell r="U72">
            <v>3.3E-3</v>
          </cell>
          <cell r="V72">
            <v>2.64E-14</v>
          </cell>
          <cell r="W72">
            <v>9.0370000000000001E-4</v>
          </cell>
        </row>
        <row r="73">
          <cell r="C73" t="str">
            <v>rs224331</v>
          </cell>
          <cell r="D73">
            <v>20</v>
          </cell>
          <cell r="E73">
            <v>34022387</v>
          </cell>
          <cell r="F73" t="str">
            <v>GDF5</v>
          </cell>
          <cell r="G73" t="str">
            <v>S276A</v>
          </cell>
          <cell r="I73" t="str">
            <v>A</v>
          </cell>
          <cell r="J73" t="str">
            <v>C</v>
          </cell>
          <cell r="L73">
            <v>167536</v>
          </cell>
          <cell r="M73">
            <v>0.64059999999999995</v>
          </cell>
          <cell r="N73">
            <v>2.47E-2</v>
          </cell>
          <cell r="O73">
            <v>3.5999999999999999E-3</v>
          </cell>
          <cell r="P73">
            <v>5.6199999999999999E-12</v>
          </cell>
          <cell r="Q73">
            <v>3.1757999999999999E-3</v>
          </cell>
          <cell r="R73">
            <v>153595</v>
          </cell>
          <cell r="S73">
            <v>0.64480000000000004</v>
          </cell>
          <cell r="T73">
            <v>2.4E-2</v>
          </cell>
          <cell r="U73">
            <v>3.8E-3</v>
          </cell>
          <cell r="V73">
            <v>1.5999999999999999E-10</v>
          </cell>
          <cell r="W73">
            <v>1.19525E-2</v>
          </cell>
        </row>
        <row r="74">
          <cell r="C74" t="str">
            <v>rs144098855</v>
          </cell>
          <cell r="D74">
            <v>20</v>
          </cell>
          <cell r="E74">
            <v>42965811</v>
          </cell>
          <cell r="F74" t="str">
            <v>R3HDML</v>
          </cell>
          <cell r="G74" t="str">
            <v>P5L</v>
          </cell>
          <cell r="I74" t="str">
            <v>T</v>
          </cell>
          <cell r="J74" t="str">
            <v>C</v>
          </cell>
          <cell r="L74">
            <v>201752</v>
          </cell>
          <cell r="M74">
            <v>2E-3</v>
          </cell>
          <cell r="N74">
            <v>0.1709</v>
          </cell>
          <cell r="O74">
            <v>4.0300000000000002E-2</v>
          </cell>
          <cell r="P74">
            <v>2.1699999999999999E-5</v>
          </cell>
          <cell r="Q74">
            <v>0.99760769999999999</v>
          </cell>
          <cell r="R74">
            <v>171455</v>
          </cell>
          <cell r="S74">
            <v>2.5999999999999999E-3</v>
          </cell>
          <cell r="T74">
            <v>0.17119999999999999</v>
          </cell>
          <cell r="U74">
            <v>4.0300000000000002E-2</v>
          </cell>
          <cell r="V74">
            <v>2.1399999999999998E-5</v>
          </cell>
          <cell r="W74">
            <v>0.96775169999999999</v>
          </cell>
        </row>
      </sheetData>
      <sheetData sheetId="8" refreshError="1"/>
      <sheetData sheetId="9">
        <row r="2">
          <cell r="C2" t="str">
            <v xml:space="preserve"> </v>
          </cell>
        </row>
        <row r="4">
          <cell r="B4" t="str">
            <v>rsID</v>
          </cell>
          <cell r="C4" t="str">
            <v>Chr</v>
          </cell>
          <cell r="D4" t="str">
            <v>Position (GRCh37)b</v>
          </cell>
          <cell r="E4" t="str">
            <v>Effect/ Other Alleles</v>
          </cell>
        </row>
        <row r="7">
          <cell r="B7" t="str">
            <v>rs61730011</v>
          </cell>
          <cell r="C7">
            <v>1</v>
          </cell>
          <cell r="D7">
            <v>119427467</v>
          </cell>
          <cell r="E7" t="str">
            <v>C/A</v>
          </cell>
        </row>
        <row r="8">
          <cell r="B8" t="str">
            <v>rs7607980</v>
          </cell>
          <cell r="C8">
            <v>2</v>
          </cell>
          <cell r="D8">
            <v>165551201</v>
          </cell>
          <cell r="E8" t="str">
            <v>C/T</v>
          </cell>
        </row>
        <row r="9">
          <cell r="B9" t="str">
            <v>rs1034405</v>
          </cell>
          <cell r="C9">
            <v>3</v>
          </cell>
          <cell r="D9">
            <v>50597092</v>
          </cell>
          <cell r="E9" t="str">
            <v>A/G</v>
          </cell>
        </row>
        <row r="10">
          <cell r="B10" t="str">
            <v>rs13303</v>
          </cell>
          <cell r="C10">
            <v>3</v>
          </cell>
          <cell r="D10">
            <v>52558008</v>
          </cell>
          <cell r="E10" t="str">
            <v>C/T</v>
          </cell>
        </row>
        <row r="11">
          <cell r="B11" t="str">
            <v>rs3617</v>
          </cell>
          <cell r="C11">
            <v>3</v>
          </cell>
          <cell r="D11">
            <v>52833805</v>
          </cell>
          <cell r="E11" t="str">
            <v>A/C</v>
          </cell>
        </row>
        <row r="12">
          <cell r="B12" t="str">
            <v>rs62266958</v>
          </cell>
          <cell r="C12">
            <v>3</v>
          </cell>
          <cell r="D12">
            <v>129137188</v>
          </cell>
          <cell r="E12" t="str">
            <v>T/C</v>
          </cell>
        </row>
        <row r="13">
          <cell r="B13" t="str">
            <v>rs1804080</v>
          </cell>
          <cell r="C13">
            <v>4</v>
          </cell>
          <cell r="D13">
            <v>89625427</v>
          </cell>
          <cell r="E13" t="str">
            <v>C/G</v>
          </cell>
        </row>
        <row r="14">
          <cell r="B14" t="str">
            <v>rs1966265</v>
          </cell>
          <cell r="C14">
            <v>5</v>
          </cell>
          <cell r="D14">
            <v>176516631</v>
          </cell>
          <cell r="E14" t="str">
            <v>G/A</v>
          </cell>
        </row>
        <row r="15">
          <cell r="B15" t="str">
            <v>rs146860658</v>
          </cell>
          <cell r="C15">
            <v>6</v>
          </cell>
          <cell r="D15">
            <v>26108117</v>
          </cell>
          <cell r="E15" t="str">
            <v>C/T</v>
          </cell>
        </row>
        <row r="16">
          <cell r="B16" t="str">
            <v>rs1892172</v>
          </cell>
          <cell r="C16">
            <v>6</v>
          </cell>
          <cell r="D16">
            <v>127476516</v>
          </cell>
          <cell r="E16" t="str">
            <v>G/A</v>
          </cell>
        </row>
        <row r="17">
          <cell r="B17" t="str">
            <v>rs139745911</v>
          </cell>
          <cell r="C17">
            <v>6</v>
          </cell>
          <cell r="D17">
            <v>127767954</v>
          </cell>
          <cell r="E17" t="str">
            <v>G/A</v>
          </cell>
        </row>
        <row r="18">
          <cell r="B18" t="str">
            <v>rs1334576</v>
          </cell>
          <cell r="C18">
            <v>6</v>
          </cell>
          <cell r="D18">
            <v>7211818</v>
          </cell>
          <cell r="E18" t="str">
            <v>A/G</v>
          </cell>
        </row>
        <row r="19">
          <cell r="B19" t="str">
            <v>rs35332062</v>
          </cell>
          <cell r="C19">
            <v>7</v>
          </cell>
          <cell r="D19">
            <v>73012042</v>
          </cell>
          <cell r="E19" t="str">
            <v>A/G</v>
          </cell>
        </row>
        <row r="20">
          <cell r="B20" t="str">
            <v>rs3812316</v>
          </cell>
          <cell r="C20">
            <v>7</v>
          </cell>
          <cell r="D20">
            <v>73020337</v>
          </cell>
          <cell r="E20" t="str">
            <v>G/C</v>
          </cell>
        </row>
        <row r="21">
          <cell r="B21" t="str">
            <v>rs17417407</v>
          </cell>
          <cell r="C21">
            <v>10</v>
          </cell>
          <cell r="D21">
            <v>95931087</v>
          </cell>
          <cell r="E21" t="str">
            <v>G/T</v>
          </cell>
        </row>
        <row r="22">
          <cell r="B22" t="str">
            <v>rs138315382</v>
          </cell>
          <cell r="C22">
            <v>10</v>
          </cell>
          <cell r="D22">
            <v>123279643</v>
          </cell>
          <cell r="E22" t="str">
            <v>C/T</v>
          </cell>
        </row>
        <row r="23">
          <cell r="B23" t="str">
            <v>rs35169799</v>
          </cell>
          <cell r="C23">
            <v>11</v>
          </cell>
          <cell r="D23">
            <v>64031241</v>
          </cell>
          <cell r="E23" t="str">
            <v>C/T</v>
          </cell>
        </row>
        <row r="24">
          <cell r="B24" t="str">
            <v>rs145878042</v>
          </cell>
          <cell r="C24">
            <v>12</v>
          </cell>
          <cell r="D24">
            <v>48143315</v>
          </cell>
          <cell r="E24" t="str">
            <v>G/A</v>
          </cell>
        </row>
        <row r="25">
          <cell r="B25" t="str">
            <v>rs11057353</v>
          </cell>
          <cell r="C25">
            <v>12</v>
          </cell>
          <cell r="D25">
            <v>124265687</v>
          </cell>
          <cell r="E25" t="str">
            <v>C/T</v>
          </cell>
        </row>
        <row r="26">
          <cell r="B26" t="str">
            <v>rs34934281</v>
          </cell>
          <cell r="C26">
            <v>12</v>
          </cell>
          <cell r="D26">
            <v>124330311</v>
          </cell>
          <cell r="E26" t="str">
            <v>T/C</v>
          </cell>
        </row>
        <row r="27">
          <cell r="B27" t="str">
            <v>rs11057401</v>
          </cell>
          <cell r="C27">
            <v>12</v>
          </cell>
          <cell r="D27">
            <v>124427306</v>
          </cell>
          <cell r="E27" t="str">
            <v>A/T</v>
          </cell>
        </row>
        <row r="28">
          <cell r="B28" t="str">
            <v>rs17677991</v>
          </cell>
          <cell r="C28">
            <v>15</v>
          </cell>
          <cell r="D28">
            <v>42032383</v>
          </cell>
          <cell r="E28" t="str">
            <v>C/G</v>
          </cell>
        </row>
        <row r="29">
          <cell r="B29" t="str">
            <v>rs3810818</v>
          </cell>
          <cell r="C29">
            <v>16</v>
          </cell>
          <cell r="D29">
            <v>4432029</v>
          </cell>
          <cell r="E29" t="str">
            <v>C/A</v>
          </cell>
        </row>
        <row r="30">
          <cell r="B30" t="str">
            <v>rs3747579</v>
          </cell>
          <cell r="C30">
            <v>16</v>
          </cell>
          <cell r="D30">
            <v>4445327</v>
          </cell>
          <cell r="E30" t="str">
            <v>T/C</v>
          </cell>
        </row>
        <row r="31">
          <cell r="B31" t="str">
            <v>rs9922085</v>
          </cell>
          <cell r="C31">
            <v>16</v>
          </cell>
          <cell r="D31">
            <v>67397580</v>
          </cell>
          <cell r="E31" t="str">
            <v>C/G</v>
          </cell>
        </row>
        <row r="32">
          <cell r="B32" t="str">
            <v>rs8052655</v>
          </cell>
          <cell r="C32">
            <v>16</v>
          </cell>
          <cell r="D32">
            <v>67409180</v>
          </cell>
          <cell r="E32" t="str">
            <v>A/G</v>
          </cell>
        </row>
        <row r="33">
          <cell r="B33" t="str">
            <v>rs874628</v>
          </cell>
          <cell r="C33">
            <v>19</v>
          </cell>
          <cell r="D33">
            <v>18304700</v>
          </cell>
          <cell r="E33" t="str">
            <v>A/G</v>
          </cell>
        </row>
        <row r="34">
          <cell r="B34" t="str">
            <v>rs2287922</v>
          </cell>
          <cell r="C34">
            <v>19</v>
          </cell>
          <cell r="D34">
            <v>49232226</v>
          </cell>
          <cell r="E34" t="str">
            <v>G/A</v>
          </cell>
        </row>
        <row r="35">
          <cell r="B35" t="str">
            <v>rs4911494</v>
          </cell>
          <cell r="C35">
            <v>20</v>
          </cell>
          <cell r="D35">
            <v>33971914</v>
          </cell>
          <cell r="E35" t="str">
            <v>C/T</v>
          </cell>
        </row>
        <row r="36">
          <cell r="B36" t="str">
            <v>rs224331</v>
          </cell>
          <cell r="C36">
            <v>20</v>
          </cell>
          <cell r="D36">
            <v>34022387</v>
          </cell>
          <cell r="E36" t="str">
            <v>C/A</v>
          </cell>
        </row>
        <row r="38">
          <cell r="B38" t="str">
            <v>rs141845046</v>
          </cell>
          <cell r="C38">
            <v>1</v>
          </cell>
          <cell r="D38">
            <v>154987704</v>
          </cell>
          <cell r="E38" t="str">
            <v>T/C</v>
          </cell>
        </row>
        <row r="39">
          <cell r="B39" t="str">
            <v>rs55920843</v>
          </cell>
          <cell r="C39">
            <v>2</v>
          </cell>
          <cell r="D39">
            <v>158412701</v>
          </cell>
          <cell r="E39" t="str">
            <v>G/T</v>
          </cell>
        </row>
        <row r="40">
          <cell r="B40" t="str">
            <v>rs7607980</v>
          </cell>
          <cell r="C40">
            <v>2</v>
          </cell>
          <cell r="D40">
            <v>165551201</v>
          </cell>
          <cell r="E40" t="str">
            <v>C/T</v>
          </cell>
        </row>
        <row r="41">
          <cell r="B41" t="str">
            <v>rs13303</v>
          </cell>
          <cell r="C41">
            <v>3</v>
          </cell>
          <cell r="D41">
            <v>52558008</v>
          </cell>
          <cell r="E41" t="str">
            <v>C/T</v>
          </cell>
        </row>
        <row r="42">
          <cell r="B42" t="str">
            <v>rs62266958</v>
          </cell>
          <cell r="C42">
            <v>3</v>
          </cell>
          <cell r="D42">
            <v>129137188</v>
          </cell>
          <cell r="E42" t="str">
            <v>T/C</v>
          </cell>
        </row>
        <row r="43">
          <cell r="B43" t="str">
            <v>rs2625973</v>
          </cell>
          <cell r="C43">
            <v>3</v>
          </cell>
          <cell r="D43">
            <v>129284818</v>
          </cell>
          <cell r="E43" t="str">
            <v>C/A</v>
          </cell>
        </row>
        <row r="44">
          <cell r="B44" t="str">
            <v>rs1804080</v>
          </cell>
          <cell r="C44">
            <v>4</v>
          </cell>
          <cell r="D44">
            <v>89625427</v>
          </cell>
          <cell r="E44" t="str">
            <v>C/G</v>
          </cell>
        </row>
        <row r="45">
          <cell r="B45" t="str">
            <v>rs7657817</v>
          </cell>
          <cell r="C45">
            <v>4</v>
          </cell>
          <cell r="D45">
            <v>89668859</v>
          </cell>
          <cell r="E45" t="str">
            <v>T/C</v>
          </cell>
        </row>
        <row r="46">
          <cell r="B46" t="str">
            <v>rs1892172</v>
          </cell>
          <cell r="C46">
            <v>6</v>
          </cell>
          <cell r="D46">
            <v>127476516</v>
          </cell>
          <cell r="E46" t="str">
            <v>G/A</v>
          </cell>
        </row>
        <row r="47">
          <cell r="B47" t="str">
            <v>rs139745911</v>
          </cell>
          <cell r="C47">
            <v>6</v>
          </cell>
          <cell r="D47">
            <v>127767954</v>
          </cell>
          <cell r="E47" t="str">
            <v>G/A</v>
          </cell>
        </row>
        <row r="48">
          <cell r="B48" t="str">
            <v>rs35169799</v>
          </cell>
          <cell r="C48">
            <v>11</v>
          </cell>
          <cell r="D48">
            <v>64031241</v>
          </cell>
          <cell r="E48" t="str">
            <v>C/T</v>
          </cell>
        </row>
        <row r="49">
          <cell r="B49" t="str">
            <v>rs145878042</v>
          </cell>
          <cell r="C49">
            <v>12</v>
          </cell>
          <cell r="D49">
            <v>48143315</v>
          </cell>
          <cell r="E49" t="str">
            <v>G/A</v>
          </cell>
        </row>
        <row r="50">
          <cell r="B50" t="str">
            <v>rs11057353</v>
          </cell>
          <cell r="C50">
            <v>12</v>
          </cell>
          <cell r="D50">
            <v>124265687</v>
          </cell>
          <cell r="E50" t="str">
            <v>C/T</v>
          </cell>
        </row>
        <row r="51">
          <cell r="B51" t="str">
            <v>rs34934281</v>
          </cell>
          <cell r="C51">
            <v>12</v>
          </cell>
          <cell r="D51">
            <v>124330311</v>
          </cell>
          <cell r="E51" t="str">
            <v>T/C</v>
          </cell>
        </row>
        <row r="52">
          <cell r="B52" t="str">
            <v>rs11057401</v>
          </cell>
          <cell r="C52">
            <v>12</v>
          </cell>
          <cell r="D52">
            <v>124427306</v>
          </cell>
          <cell r="E52" t="str">
            <v>A/T</v>
          </cell>
        </row>
        <row r="53">
          <cell r="B53" t="str">
            <v>rs3810818</v>
          </cell>
          <cell r="C53">
            <v>16</v>
          </cell>
          <cell r="D53">
            <v>4432029</v>
          </cell>
          <cell r="E53" t="str">
            <v>C/A</v>
          </cell>
        </row>
        <row r="54">
          <cell r="B54" t="str">
            <v>rs3747579</v>
          </cell>
          <cell r="C54">
            <v>16</v>
          </cell>
          <cell r="D54">
            <v>4445327</v>
          </cell>
          <cell r="E54" t="str">
            <v>T/C</v>
          </cell>
        </row>
        <row r="55">
          <cell r="B55" t="str">
            <v>rs11554159</v>
          </cell>
          <cell r="C55">
            <v>19</v>
          </cell>
          <cell r="D55">
            <v>18285944</v>
          </cell>
          <cell r="E55" t="str">
            <v>G/A</v>
          </cell>
        </row>
        <row r="56">
          <cell r="B56" t="str">
            <v>rs874628</v>
          </cell>
          <cell r="C56">
            <v>19</v>
          </cell>
          <cell r="D56">
            <v>18304700</v>
          </cell>
          <cell r="E56" t="str">
            <v>A/G</v>
          </cell>
        </row>
        <row r="57">
          <cell r="B57" t="str">
            <v>rs2287922</v>
          </cell>
          <cell r="C57">
            <v>19</v>
          </cell>
          <cell r="D57">
            <v>49232226</v>
          </cell>
          <cell r="E57" t="str">
            <v>G/A</v>
          </cell>
        </row>
        <row r="59">
          <cell r="B59" t="str">
            <v>rs1966265</v>
          </cell>
          <cell r="C59">
            <v>5</v>
          </cell>
          <cell r="D59">
            <v>176516631</v>
          </cell>
          <cell r="E59" t="str">
            <v>G/A</v>
          </cell>
        </row>
        <row r="60">
          <cell r="B60" t="str">
            <v>rs1334576</v>
          </cell>
          <cell r="C60">
            <v>6</v>
          </cell>
          <cell r="D60">
            <v>7211818</v>
          </cell>
          <cell r="E60" t="str">
            <v>A/G</v>
          </cell>
        </row>
        <row r="61">
          <cell r="B61" t="str">
            <v>rs148108950</v>
          </cell>
          <cell r="C61">
            <v>13</v>
          </cell>
          <cell r="D61">
            <v>96665697</v>
          </cell>
          <cell r="E61" t="str">
            <v>G/A</v>
          </cell>
        </row>
        <row r="62">
          <cell r="B62" t="str">
            <v>rs1042704</v>
          </cell>
          <cell r="C62">
            <v>14</v>
          </cell>
          <cell r="D62">
            <v>23312594</v>
          </cell>
          <cell r="E62" t="str">
            <v>G/A</v>
          </cell>
        </row>
        <row r="63">
          <cell r="B63" t="str">
            <v>rs4911494</v>
          </cell>
          <cell r="C63">
            <v>20</v>
          </cell>
          <cell r="D63">
            <v>33971914</v>
          </cell>
          <cell r="E63" t="str">
            <v>C/T</v>
          </cell>
        </row>
        <row r="64">
          <cell r="B64" t="str">
            <v>rs224331</v>
          </cell>
          <cell r="C64">
            <v>20</v>
          </cell>
          <cell r="D64">
            <v>34022387</v>
          </cell>
          <cell r="E64" t="str">
            <v>C/A</v>
          </cell>
        </row>
        <row r="66">
          <cell r="B66" t="str">
            <v>rs35515638</v>
          </cell>
          <cell r="C66">
            <v>1</v>
          </cell>
          <cell r="D66">
            <v>173802608</v>
          </cell>
          <cell r="E66" t="str">
            <v>A/G</v>
          </cell>
        </row>
        <row r="67">
          <cell r="B67" t="str">
            <v>rs62266958</v>
          </cell>
          <cell r="C67">
            <v>3</v>
          </cell>
          <cell r="D67">
            <v>129137188</v>
          </cell>
          <cell r="E67" t="str">
            <v>T/C</v>
          </cell>
        </row>
        <row r="68">
          <cell r="E68" t="str">
            <v xml:space="preserve"> </v>
          </cell>
        </row>
        <row r="69">
          <cell r="B69" t="str">
            <v>rs4911494</v>
          </cell>
          <cell r="C69">
            <v>20</v>
          </cell>
          <cell r="D69">
            <v>33971914</v>
          </cell>
          <cell r="E69" t="str">
            <v>C/T</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tatus"/>
      <sheetName val="Table 1"/>
      <sheetName val="Table 2"/>
      <sheetName val="ST1. Study Designs"/>
      <sheetName val="ST2. Genotyping and QC"/>
      <sheetName val="ST3. Study Descriptives"/>
      <sheetName val="SD1. Suggestive SNVs-CombSexes"/>
      <sheetName val="SD2. Suggestive SNVs-Men"/>
      <sheetName val="SD3. Suggestive SNVs-Women"/>
      <sheetName val="ST4. ConditnlDiscovry-Multi"/>
      <sheetName val="ST5-GWASconditional-ukbb"/>
      <sheetName val="ST6-GWASconditional_EC"/>
      <sheetName val="ST7. Collider_bias"/>
      <sheetName val="ST8. Gene-based Results"/>
      <sheetName val="SD4. DEPICT All SNVs"/>
      <sheetName val="SD5. DEPICT Novel SNVs"/>
      <sheetName val="NewST9. PASCAL"/>
      <sheetName val="STD6. Cross Trait Lookups"/>
      <sheetName val="SD7. GWAS Catalog Lookups"/>
      <sheetName val="ST10. Total Body Fat lookups"/>
      <sheetName val="ST11. Truncal Fat lookups"/>
      <sheetName val="SD8. Monogenic gene lists"/>
      <sheetName val="ST12. Variance Explained"/>
      <sheetName val="ST13. UKBB Penetrance Anal"/>
      <sheetName val="ST14. Fly Results"/>
      <sheetName val="SD9. eQTL_METSIM"/>
      <sheetName val="ST15. eQTL_GTEx "/>
      <sheetName val="SD10. Locus Lookups"/>
      <sheetName val="SD11. VEP annotation"/>
      <sheetName val="ST16. Inflation_Factor"/>
      <sheetName val="ST17.Acknowledgements"/>
    </sheetNames>
    <sheetDataSet>
      <sheetData sheetId="0"/>
      <sheetData sheetId="1"/>
      <sheetData sheetId="2"/>
      <sheetData sheetId="3"/>
      <sheetData sheetId="4"/>
      <sheetData sheetId="5"/>
      <sheetData sheetId="6"/>
      <sheetData sheetId="7">
        <row r="4">
          <cell r="C4" t="str">
            <v>rsID</v>
          </cell>
          <cell r="D4" t="str">
            <v>Chr</v>
          </cell>
          <cell r="E4" t="str">
            <v>Position (GRCh37)b</v>
          </cell>
          <cell r="F4" t="str">
            <v>Genec</v>
          </cell>
          <cell r="G4" t="str">
            <v>Amino Acid changec</v>
          </cell>
          <cell r="H4" t="str">
            <v>Known locusd</v>
          </cell>
          <cell r="I4" t="str">
            <v>Effect (WHRadjBMI increasing) Allele</v>
          </cell>
          <cell r="J4" t="str">
            <v>Other Allele</v>
          </cell>
          <cell r="L4" t="str">
            <v>N</v>
          </cell>
          <cell r="M4" t="str">
            <v>Effect Allele Frequency</v>
          </cell>
          <cell r="N4" t="str">
            <v>Effect sizee (SD/allele)</v>
          </cell>
          <cell r="O4" t="str">
            <v>SE</v>
          </cell>
          <cell r="P4" t="str">
            <v>P-value</v>
          </cell>
          <cell r="Q4" t="str">
            <v>P-value for Sex-heterogeneityf</v>
          </cell>
          <cell r="R4" t="str">
            <v>N</v>
          </cell>
          <cell r="S4" t="str">
            <v>Effect Allele Frequency</v>
          </cell>
          <cell r="T4" t="str">
            <v>Effect sizee (SD/allele)</v>
          </cell>
          <cell r="U4" t="str">
            <v>SE</v>
          </cell>
          <cell r="V4" t="str">
            <v>P-value</v>
          </cell>
          <cell r="W4" t="str">
            <v>P-value for Sex-heterogeneityf</v>
          </cell>
        </row>
        <row r="5">
          <cell r="C5" t="str">
            <v>rs7537203</v>
          </cell>
          <cell r="D5">
            <v>1</v>
          </cell>
          <cell r="E5">
            <v>36225948</v>
          </cell>
          <cell r="F5" t="str">
            <v>CLSPN</v>
          </cell>
          <cell r="G5" t="str">
            <v>N525S</v>
          </cell>
          <cell r="I5" t="str">
            <v>C</v>
          </cell>
          <cell r="J5" t="str">
            <v>T</v>
          </cell>
          <cell r="L5">
            <v>188983</v>
          </cell>
          <cell r="M5">
            <v>0.15440000000000001</v>
          </cell>
          <cell r="N5">
            <v>1.7600000000000001E-2</v>
          </cell>
          <cell r="O5">
            <v>4.5999999999999999E-3</v>
          </cell>
          <cell r="P5">
            <v>1.306E-4</v>
          </cell>
          <cell r="Q5">
            <v>0.87311209999999995</v>
          </cell>
          <cell r="R5">
            <v>160211</v>
          </cell>
          <cell r="S5">
            <v>0.1283</v>
          </cell>
          <cell r="T5">
            <v>1.6299999999999999E-2</v>
          </cell>
          <cell r="U5">
            <v>5.3E-3</v>
          </cell>
          <cell r="V5">
            <v>1.9E-3</v>
          </cell>
          <cell r="W5">
            <v>0.83430820000000006</v>
          </cell>
        </row>
        <row r="6">
          <cell r="C6" t="str">
            <v>rs61730011</v>
          </cell>
          <cell r="D6">
            <v>1</v>
          </cell>
          <cell r="E6">
            <v>119427467</v>
          </cell>
          <cell r="F6" t="str">
            <v>TBX15</v>
          </cell>
          <cell r="G6" t="str">
            <v>M566R</v>
          </cell>
          <cell r="H6" t="str">
            <v>rs2645294, rs12731372, rs12143789, rs1106529</v>
          </cell>
          <cell r="I6" t="str">
            <v>A</v>
          </cell>
          <cell r="J6" t="str">
            <v>C</v>
          </cell>
          <cell r="L6">
            <v>200878</v>
          </cell>
          <cell r="M6">
            <v>0.95730000000000004</v>
          </cell>
          <cell r="N6">
            <v>3.8199999999999998E-2</v>
          </cell>
          <cell r="O6">
            <v>7.7999999999999996E-3</v>
          </cell>
          <cell r="P6">
            <v>8.8700000000000004E-7</v>
          </cell>
          <cell r="Q6">
            <v>0.66914249999999997</v>
          </cell>
          <cell r="R6">
            <v>185316</v>
          </cell>
          <cell r="S6">
            <v>0.95730000000000004</v>
          </cell>
          <cell r="T6">
            <v>3.5000000000000003E-2</v>
          </cell>
          <cell r="U6">
            <v>8.0999999999999996E-3</v>
          </cell>
          <cell r="V6">
            <v>1.4399999999999999E-5</v>
          </cell>
          <cell r="W6">
            <v>0.49392930000000002</v>
          </cell>
        </row>
        <row r="7">
          <cell r="C7" t="str">
            <v>rs10494217</v>
          </cell>
          <cell r="D7">
            <v>1</v>
          </cell>
          <cell r="E7">
            <v>119469188</v>
          </cell>
          <cell r="G7" t="str">
            <v>H156N</v>
          </cell>
          <cell r="I7" t="str">
            <v>T</v>
          </cell>
          <cell r="J7" t="str">
            <v>G</v>
          </cell>
          <cell r="L7">
            <v>225500</v>
          </cell>
          <cell r="M7">
            <v>0.17460000000000001</v>
          </cell>
          <cell r="N7">
            <v>1.6400000000000001E-2</v>
          </cell>
          <cell r="O7">
            <v>3.8999999999999998E-3</v>
          </cell>
          <cell r="P7">
            <v>3.1000000000000001E-5</v>
          </cell>
          <cell r="Q7">
            <v>0.59609250000000003</v>
          </cell>
          <cell r="R7">
            <v>192238</v>
          </cell>
          <cell r="S7">
            <v>0.1898</v>
          </cell>
          <cell r="T7">
            <v>1.6199999999999999E-2</v>
          </cell>
          <cell r="U7">
            <v>4.1000000000000003E-3</v>
          </cell>
          <cell r="V7">
            <v>8.14E-5</v>
          </cell>
          <cell r="W7">
            <v>0.52132149999999999</v>
          </cell>
        </row>
        <row r="8">
          <cell r="C8" t="str">
            <v>rs141845046</v>
          </cell>
          <cell r="D8">
            <v>1</v>
          </cell>
          <cell r="E8">
            <v>154987704</v>
          </cell>
          <cell r="F8" t="str">
            <v>ZBTB7B</v>
          </cell>
          <cell r="G8" t="str">
            <v>P190S</v>
          </cell>
          <cell r="H8" t="str">
            <v>rs905938</v>
          </cell>
          <cell r="I8" t="str">
            <v>C</v>
          </cell>
          <cell r="J8" t="str">
            <v>T</v>
          </cell>
          <cell r="L8">
            <v>226709</v>
          </cell>
          <cell r="M8">
            <v>0.97509999999999997</v>
          </cell>
          <cell r="N8">
            <v>3.8E-3</v>
          </cell>
          <cell r="O8">
            <v>9.5999999999999992E-3</v>
          </cell>
          <cell r="P8">
            <v>0.68769999999999998</v>
          </cell>
          <cell r="Q8">
            <v>7.9100000000000003E-7</v>
          </cell>
          <cell r="R8">
            <v>193447</v>
          </cell>
          <cell r="S8">
            <v>0.97089999999999999</v>
          </cell>
          <cell r="T8">
            <v>3.3999999999999998E-3</v>
          </cell>
          <cell r="U8">
            <v>9.7000000000000003E-3</v>
          </cell>
          <cell r="V8">
            <v>0.72670000000000001</v>
          </cell>
          <cell r="W8">
            <v>7.6000000000000003E-7</v>
          </cell>
        </row>
        <row r="9">
          <cell r="C9" t="str">
            <v>rs35515638</v>
          </cell>
          <cell r="D9">
            <v>1</v>
          </cell>
          <cell r="E9">
            <v>173802608</v>
          </cell>
          <cell r="F9" t="str">
            <v>DARS2</v>
          </cell>
          <cell r="G9" t="str">
            <v>K196R</v>
          </cell>
          <cell r="I9" t="str">
            <v>G</v>
          </cell>
          <cell r="J9" t="str">
            <v>A</v>
          </cell>
          <cell r="L9">
            <v>187155</v>
          </cell>
          <cell r="M9">
            <v>4.5999999999999999E-3</v>
          </cell>
          <cell r="N9">
            <v>0.1014</v>
          </cell>
          <cell r="O9">
            <v>2.8500000000000001E-2</v>
          </cell>
          <cell r="P9">
            <v>3.745E-4</v>
          </cell>
          <cell r="Q9">
            <v>8.6594099999999993E-2</v>
          </cell>
          <cell r="R9">
            <v>154194</v>
          </cell>
          <cell r="S9">
            <v>1.8E-3</v>
          </cell>
          <cell r="T9">
            <v>0.25700000000000001</v>
          </cell>
          <cell r="U9">
            <v>4.9099999999999998E-2</v>
          </cell>
          <cell r="V9">
            <v>1.6299999999999999E-7</v>
          </cell>
          <cell r="W9">
            <v>6.0161800000000001E-2</v>
          </cell>
        </row>
        <row r="10">
          <cell r="C10" t="str">
            <v>rs3851294</v>
          </cell>
          <cell r="D10">
            <v>1</v>
          </cell>
          <cell r="E10">
            <v>205130413</v>
          </cell>
          <cell r="F10" t="str">
            <v>DSTYK</v>
          </cell>
          <cell r="G10" t="str">
            <v>C641R</v>
          </cell>
          <cell r="I10" t="str">
            <v>G</v>
          </cell>
          <cell r="J10" t="str">
            <v>A</v>
          </cell>
          <cell r="L10">
            <v>225803</v>
          </cell>
          <cell r="M10">
            <v>0.91439999999999999</v>
          </cell>
          <cell r="N10">
            <v>-5.1000000000000004E-3</v>
          </cell>
          <cell r="O10">
            <v>5.3E-3</v>
          </cell>
          <cell r="P10">
            <v>0.33939999999999998</v>
          </cell>
          <cell r="Q10">
            <v>9.7500000000000006E-8</v>
          </cell>
          <cell r="R10">
            <v>192541</v>
          </cell>
          <cell r="S10">
            <v>0.90749999999999997</v>
          </cell>
          <cell r="T10">
            <v>-3.8999999999999998E-3</v>
          </cell>
          <cell r="U10">
            <v>5.4999999999999997E-3</v>
          </cell>
          <cell r="V10">
            <v>0.47860000000000003</v>
          </cell>
          <cell r="W10">
            <v>3.15E-7</v>
          </cell>
        </row>
        <row r="11">
          <cell r="C11" t="str">
            <v>rs4668909</v>
          </cell>
          <cell r="D11">
            <v>2</v>
          </cell>
          <cell r="E11">
            <v>15607842</v>
          </cell>
          <cell r="F11" t="str">
            <v>NBAS</v>
          </cell>
          <cell r="G11" t="str">
            <v>K655R</v>
          </cell>
          <cell r="I11" t="str">
            <v>C</v>
          </cell>
          <cell r="J11" t="str">
            <v>T</v>
          </cell>
          <cell r="L11">
            <v>219790</v>
          </cell>
          <cell r="M11">
            <v>0.63249999999999995</v>
          </cell>
          <cell r="N11">
            <v>3.2000000000000002E-3</v>
          </cell>
          <cell r="O11">
            <v>4.4000000000000003E-3</v>
          </cell>
          <cell r="P11">
            <v>0.47639999999999999</v>
          </cell>
          <cell r="Q11">
            <v>5.8040799999999997E-2</v>
          </cell>
          <cell r="R11">
            <v>187589</v>
          </cell>
          <cell r="S11">
            <v>0.6673</v>
          </cell>
          <cell r="T11">
            <v>3.0999999999999999E-3</v>
          </cell>
          <cell r="U11">
            <v>4.7000000000000002E-3</v>
          </cell>
          <cell r="V11">
            <v>0.50490000000000002</v>
          </cell>
          <cell r="W11">
            <v>3.8759299999999997E-2</v>
          </cell>
        </row>
        <row r="12">
          <cell r="C12" t="str">
            <v>rs55920843</v>
          </cell>
          <cell r="D12">
            <v>2</v>
          </cell>
          <cell r="E12">
            <v>158412701</v>
          </cell>
          <cell r="F12" t="str">
            <v>ACVR1C</v>
          </cell>
          <cell r="G12" t="str">
            <v>N150H</v>
          </cell>
          <cell r="I12" t="str">
            <v>T</v>
          </cell>
          <cell r="J12" t="str">
            <v>G</v>
          </cell>
          <cell r="L12">
            <v>210071</v>
          </cell>
          <cell r="M12">
            <v>0.98899999999999999</v>
          </cell>
          <cell r="N12">
            <v>5.4999999999999997E-3</v>
          </cell>
          <cell r="O12">
            <v>1.52E-2</v>
          </cell>
          <cell r="P12">
            <v>0.71889999999999998</v>
          </cell>
          <cell r="Q12">
            <v>1.7100000000000001E-7</v>
          </cell>
          <cell r="R12">
            <v>193448</v>
          </cell>
          <cell r="S12">
            <v>0.98839999999999995</v>
          </cell>
          <cell r="T12">
            <v>6.4000000000000003E-3</v>
          </cell>
          <cell r="U12">
            <v>1.54E-2</v>
          </cell>
          <cell r="V12">
            <v>0.67530000000000001</v>
          </cell>
          <cell r="W12">
            <v>8.1900000000000001E-7</v>
          </cell>
        </row>
        <row r="13">
          <cell r="C13" t="str">
            <v>rs7607980</v>
          </cell>
          <cell r="D13">
            <v>2</v>
          </cell>
          <cell r="E13">
            <v>165551201</v>
          </cell>
          <cell r="F13" t="str">
            <v>COBLL1</v>
          </cell>
          <cell r="G13" t="str">
            <v>N941D</v>
          </cell>
          <cell r="H13" t="str">
            <v>rs1128249, rs10195252, rs12692737, rs12692738, rs17185198</v>
          </cell>
          <cell r="I13" t="str">
            <v>T</v>
          </cell>
          <cell r="J13" t="str">
            <v>C</v>
          </cell>
          <cell r="L13">
            <v>173600</v>
          </cell>
          <cell r="M13">
            <v>0.87960000000000005</v>
          </cell>
          <cell r="N13">
            <v>-1.78E-2</v>
          </cell>
          <cell r="O13">
            <v>5.1999999999999998E-3</v>
          </cell>
          <cell r="P13">
            <v>5.754E-4</v>
          </cell>
          <cell r="Q13">
            <v>3.010203E-30</v>
          </cell>
          <cell r="R13">
            <v>162734</v>
          </cell>
          <cell r="S13">
            <v>0.87870000000000004</v>
          </cell>
          <cell r="T13">
            <v>-1.66E-2</v>
          </cell>
          <cell r="U13">
            <v>5.3E-3</v>
          </cell>
          <cell r="V13">
            <v>1.7880000000000001E-3</v>
          </cell>
          <cell r="W13">
            <v>1.7999999999999999E-28</v>
          </cell>
        </row>
        <row r="14">
          <cell r="C14" t="str">
            <v>rs7586970</v>
          </cell>
          <cell r="D14">
            <v>2</v>
          </cell>
          <cell r="E14">
            <v>188343497</v>
          </cell>
          <cell r="F14" t="str">
            <v>TFPI</v>
          </cell>
          <cell r="G14" t="str">
            <v>N221S</v>
          </cell>
          <cell r="H14" t="str">
            <v>rs1569135</v>
          </cell>
          <cell r="I14" t="str">
            <v>T</v>
          </cell>
          <cell r="J14" t="str">
            <v>C</v>
          </cell>
          <cell r="L14">
            <v>214576</v>
          </cell>
          <cell r="M14">
            <v>0.69830000000000003</v>
          </cell>
          <cell r="N14">
            <v>1.55E-2</v>
          </cell>
          <cell r="O14">
            <v>3.3E-3</v>
          </cell>
          <cell r="P14">
            <v>2.92E-6</v>
          </cell>
          <cell r="Q14">
            <v>0.62948689999999996</v>
          </cell>
          <cell r="R14">
            <v>181314</v>
          </cell>
          <cell r="S14">
            <v>0.69520000000000004</v>
          </cell>
          <cell r="T14">
            <v>1.8700000000000001E-2</v>
          </cell>
          <cell r="U14">
            <v>3.5999999999999999E-3</v>
          </cell>
          <cell r="V14">
            <v>1.85E-7</v>
          </cell>
          <cell r="W14">
            <v>0.79128580000000004</v>
          </cell>
        </row>
        <row r="15">
          <cell r="C15" t="str">
            <v>rs4082155</v>
          </cell>
          <cell r="D15">
            <v>3</v>
          </cell>
          <cell r="E15">
            <v>47125385</v>
          </cell>
          <cell r="F15" t="str">
            <v>SETD2</v>
          </cell>
          <cell r="G15" t="str">
            <v>P1962L</v>
          </cell>
          <cell r="I15" t="str">
            <v>A</v>
          </cell>
          <cell r="J15" t="str">
            <v>G</v>
          </cell>
          <cell r="L15">
            <v>164238</v>
          </cell>
          <cell r="M15">
            <v>0.5615</v>
          </cell>
          <cell r="N15">
            <v>9.2999999999999992E-3</v>
          </cell>
          <cell r="O15">
            <v>3.5000000000000001E-3</v>
          </cell>
          <cell r="P15">
            <v>8.5690000000000002E-3</v>
          </cell>
          <cell r="Q15">
            <v>0.18558140000000001</v>
          </cell>
          <cell r="R15">
            <v>130976</v>
          </cell>
          <cell r="S15">
            <v>0.57740000000000002</v>
          </cell>
          <cell r="T15">
            <v>6.6E-3</v>
          </cell>
          <cell r="U15">
            <v>4.0000000000000001E-3</v>
          </cell>
          <cell r="V15">
            <v>9.5409999999999995E-2</v>
          </cell>
          <cell r="W15">
            <v>6.7690299999999995E-2</v>
          </cell>
        </row>
        <row r="16">
          <cell r="C16" t="str">
            <v>rs2276853</v>
          </cell>
          <cell r="D16">
            <v>3</v>
          </cell>
          <cell r="E16">
            <v>47282303</v>
          </cell>
          <cell r="F16" t="str">
            <v>KIF9</v>
          </cell>
          <cell r="G16" t="str">
            <v>R638W</v>
          </cell>
          <cell r="I16" t="str">
            <v>A</v>
          </cell>
          <cell r="J16" t="str">
            <v>G</v>
          </cell>
          <cell r="L16">
            <v>164238</v>
          </cell>
          <cell r="M16">
            <v>0.59040000000000004</v>
          </cell>
          <cell r="N16">
            <v>1.0800000000000001E-2</v>
          </cell>
          <cell r="O16">
            <v>3.5999999999999999E-3</v>
          </cell>
          <cell r="P16">
            <v>2.5400000000000002E-3</v>
          </cell>
          <cell r="Q16">
            <v>0.3662861</v>
          </cell>
          <cell r="R16">
            <v>130976</v>
          </cell>
          <cell r="S16">
            <v>0.59640000000000004</v>
          </cell>
          <cell r="T16">
            <v>8.6999999999999994E-3</v>
          </cell>
          <cell r="U16">
            <v>4.0000000000000001E-3</v>
          </cell>
          <cell r="V16">
            <v>3.039E-2</v>
          </cell>
          <cell r="W16">
            <v>0.20742659999999999</v>
          </cell>
        </row>
        <row r="17">
          <cell r="C17" t="str">
            <v>rs1034405</v>
          </cell>
          <cell r="D17">
            <v>3</v>
          </cell>
          <cell r="E17">
            <v>50597092</v>
          </cell>
          <cell r="F17" t="str">
            <v>C3orf18</v>
          </cell>
          <cell r="G17" t="str">
            <v>A162V</v>
          </cell>
          <cell r="I17" t="str">
            <v>G</v>
          </cell>
          <cell r="J17" t="str">
            <v>A</v>
          </cell>
          <cell r="L17">
            <v>210009</v>
          </cell>
          <cell r="M17">
            <v>0.1328</v>
          </cell>
          <cell r="N17">
            <v>1.5800000000000002E-2</v>
          </cell>
          <cell r="O17">
            <v>4.4999999999999997E-3</v>
          </cell>
          <cell r="P17">
            <v>4.9899999999999999E-4</v>
          </cell>
          <cell r="Q17">
            <v>0.88411050000000002</v>
          </cell>
          <cell r="R17">
            <v>193386</v>
          </cell>
          <cell r="S17">
            <v>0.1305</v>
          </cell>
          <cell r="T17">
            <v>1.6E-2</v>
          </cell>
          <cell r="U17">
            <v>4.7000000000000002E-3</v>
          </cell>
          <cell r="V17">
            <v>7.3800000000000005E-4</v>
          </cell>
          <cell r="W17">
            <v>0.92594279999999995</v>
          </cell>
        </row>
        <row r="18">
          <cell r="C18" t="str">
            <v>rs13303</v>
          </cell>
          <cell r="D18">
            <v>3</v>
          </cell>
          <cell r="E18">
            <v>52558008</v>
          </cell>
          <cell r="F18" t="str">
            <v>STAB1</v>
          </cell>
          <cell r="G18" t="str">
            <v>M113T</v>
          </cell>
          <cell r="H18" t="str">
            <v>rs2276824</v>
          </cell>
          <cell r="I18" t="str">
            <v>T</v>
          </cell>
          <cell r="J18" t="str">
            <v>C</v>
          </cell>
          <cell r="L18">
            <v>223921</v>
          </cell>
          <cell r="M18">
            <v>0.45540000000000003</v>
          </cell>
          <cell r="N18">
            <v>1.5100000000000001E-2</v>
          </cell>
          <cell r="O18">
            <v>3.0000000000000001E-3</v>
          </cell>
          <cell r="P18">
            <v>6.92E-7</v>
          </cell>
          <cell r="Q18">
            <v>6.73232E-2</v>
          </cell>
          <cell r="R18">
            <v>190960</v>
          </cell>
          <cell r="S18">
            <v>0.43369999999999997</v>
          </cell>
          <cell r="T18">
            <v>1.7000000000000001E-2</v>
          </cell>
          <cell r="U18">
            <v>3.3E-3</v>
          </cell>
          <cell r="V18">
            <v>2.23E-7</v>
          </cell>
          <cell r="W18">
            <v>0.1143533</v>
          </cell>
        </row>
        <row r="19">
          <cell r="C19" t="str">
            <v>rs3617</v>
          </cell>
          <cell r="D19">
            <v>3</v>
          </cell>
          <cell r="E19">
            <v>52833805</v>
          </cell>
          <cell r="F19" t="str">
            <v>ITIH3</v>
          </cell>
          <cell r="G19" t="str">
            <v>Q315K</v>
          </cell>
          <cell r="I19" t="str">
            <v>C</v>
          </cell>
          <cell r="J19" t="str">
            <v>A</v>
          </cell>
          <cell r="L19">
            <v>225458</v>
          </cell>
          <cell r="M19">
            <v>0.54720000000000002</v>
          </cell>
          <cell r="N19">
            <v>1.3899999999999999E-2</v>
          </cell>
          <cell r="O19">
            <v>3.0000000000000001E-3</v>
          </cell>
          <cell r="P19">
            <v>2.7700000000000002E-6</v>
          </cell>
          <cell r="Q19">
            <v>0.40022659999999999</v>
          </cell>
          <cell r="R19">
            <v>192196</v>
          </cell>
          <cell r="S19">
            <v>0.54210000000000003</v>
          </cell>
          <cell r="T19">
            <v>1.72E-2</v>
          </cell>
          <cell r="U19">
            <v>3.2000000000000002E-3</v>
          </cell>
          <cell r="V19">
            <v>6.9699999999999995E-8</v>
          </cell>
          <cell r="W19">
            <v>0.77558009999999999</v>
          </cell>
        </row>
        <row r="20">
          <cell r="C20" t="str">
            <v>rs62266958</v>
          </cell>
          <cell r="D20">
            <v>3</v>
          </cell>
          <cell r="E20">
            <v>129137188</v>
          </cell>
          <cell r="F20" t="str">
            <v>EFCAB12</v>
          </cell>
          <cell r="G20" t="str">
            <v>R197H</v>
          </cell>
          <cell r="H20" t="str">
            <v>rs10804591</v>
          </cell>
          <cell r="I20" t="str">
            <v>C</v>
          </cell>
          <cell r="J20" t="str">
            <v>T</v>
          </cell>
          <cell r="L20">
            <v>226690</v>
          </cell>
          <cell r="M20">
            <v>0.93669999999999998</v>
          </cell>
          <cell r="N20">
            <v>1.7999999999999999E-2</v>
          </cell>
          <cell r="O20">
            <v>6.1000000000000004E-3</v>
          </cell>
          <cell r="P20">
            <v>3.0620000000000001E-3</v>
          </cell>
          <cell r="Q20">
            <v>9.31E-5</v>
          </cell>
          <cell r="R20">
            <v>193428</v>
          </cell>
          <cell r="S20">
            <v>0.92959999999999998</v>
          </cell>
          <cell r="T20">
            <v>1.95E-2</v>
          </cell>
          <cell r="U20">
            <v>6.1999999999999998E-3</v>
          </cell>
          <cell r="V20">
            <v>1.7639999999999999E-3</v>
          </cell>
          <cell r="W20">
            <v>7.8499999999999997E-5</v>
          </cell>
        </row>
        <row r="21">
          <cell r="C21" t="str">
            <v>rs2625973</v>
          </cell>
          <cell r="D21">
            <v>3</v>
          </cell>
          <cell r="E21">
            <v>129284818</v>
          </cell>
          <cell r="F21" t="str">
            <v>PLXND1</v>
          </cell>
          <cell r="G21" t="str">
            <v>L1412V</v>
          </cell>
          <cell r="I21" t="str">
            <v>A</v>
          </cell>
          <cell r="J21" t="str">
            <v>C</v>
          </cell>
          <cell r="L21">
            <v>226650</v>
          </cell>
          <cell r="M21">
            <v>0.7359</v>
          </cell>
          <cell r="N21">
            <v>4.4999999999999997E-3</v>
          </cell>
          <cell r="O21">
            <v>3.3999999999999998E-3</v>
          </cell>
          <cell r="P21">
            <v>0.18529999999999999</v>
          </cell>
          <cell r="Q21">
            <v>1.5699999999999999E-5</v>
          </cell>
          <cell r="R21">
            <v>193388</v>
          </cell>
          <cell r="S21">
            <v>0.72289999999999999</v>
          </cell>
          <cell r="T21">
            <v>5.1999999999999998E-3</v>
          </cell>
          <cell r="U21">
            <v>3.5999999999999999E-3</v>
          </cell>
          <cell r="V21">
            <v>0.1474</v>
          </cell>
          <cell r="W21">
            <v>1.7399999999999999E-5</v>
          </cell>
        </row>
        <row r="22">
          <cell r="C22" t="str">
            <v>rs2255703</v>
          </cell>
          <cell r="D22">
            <v>3</v>
          </cell>
          <cell r="E22">
            <v>129293256</v>
          </cell>
          <cell r="G22" t="str">
            <v>M870V</v>
          </cell>
          <cell r="I22" t="str">
            <v>T</v>
          </cell>
          <cell r="J22" t="str">
            <v>C</v>
          </cell>
          <cell r="L22">
            <v>226681</v>
          </cell>
          <cell r="M22">
            <v>0.60850000000000004</v>
          </cell>
          <cell r="N22">
            <v>3.0999999999999999E-3</v>
          </cell>
          <cell r="O22">
            <v>3.0999999999999999E-3</v>
          </cell>
          <cell r="P22">
            <v>0.31059999999999999</v>
          </cell>
          <cell r="Q22">
            <v>4.9819999999999997E-4</v>
          </cell>
          <cell r="R22">
            <v>193419</v>
          </cell>
          <cell r="S22">
            <v>0.62219999999999998</v>
          </cell>
          <cell r="T22">
            <v>4.1000000000000003E-3</v>
          </cell>
          <cell r="U22">
            <v>3.3E-3</v>
          </cell>
          <cell r="V22">
            <v>0.21540000000000001</v>
          </cell>
          <cell r="W22">
            <v>1.6200000000000001E-4</v>
          </cell>
        </row>
        <row r="23">
          <cell r="C23" t="str">
            <v>rs1804080</v>
          </cell>
          <cell r="D23">
            <v>4</v>
          </cell>
          <cell r="E23">
            <v>89625427</v>
          </cell>
          <cell r="F23" t="str">
            <v>HERC3</v>
          </cell>
          <cell r="G23" t="str">
            <v>E946Q</v>
          </cell>
          <cell r="H23" t="str">
            <v>rs9991328</v>
          </cell>
          <cell r="I23" t="str">
            <v>G</v>
          </cell>
          <cell r="J23" t="str">
            <v>C</v>
          </cell>
          <cell r="L23">
            <v>222556</v>
          </cell>
          <cell r="M23">
            <v>0.8387</v>
          </cell>
          <cell r="N23">
            <v>7.4999999999999997E-3</v>
          </cell>
          <cell r="O23">
            <v>4.1000000000000003E-3</v>
          </cell>
          <cell r="P23">
            <v>6.6119999999999998E-2</v>
          </cell>
          <cell r="Q23">
            <v>4.0799999999999999E-6</v>
          </cell>
          <cell r="R23">
            <v>189294</v>
          </cell>
          <cell r="S23">
            <v>0.83740000000000003</v>
          </cell>
          <cell r="T23">
            <v>7.7999999999999996E-3</v>
          </cell>
          <cell r="U23">
            <v>4.4000000000000003E-3</v>
          </cell>
          <cell r="V23">
            <v>7.6770000000000005E-2</v>
          </cell>
          <cell r="W23">
            <v>1.6399999999999999E-5</v>
          </cell>
        </row>
        <row r="24">
          <cell r="C24" t="str">
            <v>rs7657817</v>
          </cell>
          <cell r="D24">
            <v>4</v>
          </cell>
          <cell r="E24">
            <v>89668859</v>
          </cell>
          <cell r="F24" t="str">
            <v>FAM13A</v>
          </cell>
          <cell r="G24" t="str">
            <v>V443I</v>
          </cell>
          <cell r="I24" t="str">
            <v>C</v>
          </cell>
          <cell r="J24" t="str">
            <v>T</v>
          </cell>
          <cell r="L24">
            <v>226680</v>
          </cell>
          <cell r="M24">
            <v>0.81610000000000005</v>
          </cell>
          <cell r="N24">
            <v>5.4999999999999997E-3</v>
          </cell>
          <cell r="O24">
            <v>3.8E-3</v>
          </cell>
          <cell r="P24">
            <v>0.15210000000000001</v>
          </cell>
          <cell r="Q24">
            <v>9.5600000000000006E-5</v>
          </cell>
          <cell r="R24">
            <v>193418</v>
          </cell>
          <cell r="S24">
            <v>0.82640000000000002</v>
          </cell>
          <cell r="T24">
            <v>5.8999999999999999E-3</v>
          </cell>
          <cell r="U24">
            <v>4.1999999999999997E-3</v>
          </cell>
          <cell r="V24">
            <v>0.1656</v>
          </cell>
          <cell r="W24">
            <v>5.4400000000000001E-5</v>
          </cell>
        </row>
        <row r="25">
          <cell r="C25" t="str">
            <v>rs3733526</v>
          </cell>
          <cell r="D25">
            <v>4</v>
          </cell>
          <cell r="E25">
            <v>120528327</v>
          </cell>
          <cell r="F25" t="str">
            <v>PDE5A</v>
          </cell>
          <cell r="G25" t="str">
            <v>A41V</v>
          </cell>
          <cell r="H25" t="str">
            <v xml:space="preserve"> </v>
          </cell>
          <cell r="I25" t="str">
            <v>G</v>
          </cell>
          <cell r="J25" t="str">
            <v>A</v>
          </cell>
          <cell r="L25">
            <v>219069</v>
          </cell>
          <cell r="M25">
            <v>0.1865</v>
          </cell>
          <cell r="N25">
            <v>6.8999999999999999E-3</v>
          </cell>
          <cell r="O25">
            <v>3.8999999999999998E-3</v>
          </cell>
          <cell r="P25">
            <v>7.5170000000000001E-2</v>
          </cell>
          <cell r="Q25">
            <v>5.1836E-3</v>
          </cell>
          <cell r="R25">
            <v>185807</v>
          </cell>
          <cell r="S25">
            <v>0.188</v>
          </cell>
          <cell r="T25">
            <v>1.06E-2</v>
          </cell>
          <cell r="U25">
            <v>4.1999999999999997E-3</v>
          </cell>
          <cell r="V25">
            <v>1.091E-2</v>
          </cell>
          <cell r="W25">
            <v>2.85335E-2</v>
          </cell>
        </row>
        <row r="26">
          <cell r="C26" t="str">
            <v>rs1966265</v>
          </cell>
          <cell r="D26">
            <v>5</v>
          </cell>
          <cell r="E26">
            <v>176516631</v>
          </cell>
          <cell r="F26" t="str">
            <v>FGFR4</v>
          </cell>
          <cell r="G26" t="str">
            <v>V10I</v>
          </cell>
          <cell r="H26" t="str">
            <v>rs6556301</v>
          </cell>
          <cell r="I26" t="str">
            <v>A</v>
          </cell>
          <cell r="J26" t="str">
            <v>G</v>
          </cell>
          <cell r="L26">
            <v>209944</v>
          </cell>
          <cell r="M26">
            <v>0.23799999999999999</v>
          </cell>
          <cell r="N26">
            <v>2.6100000000000002E-2</v>
          </cell>
          <cell r="O26">
            <v>3.5999999999999999E-3</v>
          </cell>
          <cell r="P26">
            <v>4.51E-13</v>
          </cell>
          <cell r="Q26">
            <v>0.20593120000000001</v>
          </cell>
          <cell r="R26">
            <v>193321</v>
          </cell>
          <cell r="S26">
            <v>0.23769999999999999</v>
          </cell>
          <cell r="T26">
            <v>2.5600000000000001E-2</v>
          </cell>
          <cell r="U26">
            <v>3.7000000000000002E-3</v>
          </cell>
          <cell r="V26">
            <v>7.1E-12</v>
          </cell>
          <cell r="W26">
            <v>0.1842374</v>
          </cell>
        </row>
        <row r="27">
          <cell r="C27" t="str">
            <v>rs142342609</v>
          </cell>
          <cell r="D27">
            <v>5</v>
          </cell>
          <cell r="E27">
            <v>180017643</v>
          </cell>
          <cell r="F27" t="str">
            <v>SCGB3A1</v>
          </cell>
          <cell r="G27" t="str">
            <v>G83D</v>
          </cell>
          <cell r="I27" t="str">
            <v>T</v>
          </cell>
          <cell r="J27" t="str">
            <v>C</v>
          </cell>
          <cell r="L27">
            <v>97989</v>
          </cell>
          <cell r="M27">
            <v>1E-3</v>
          </cell>
          <cell r="N27">
            <v>0.35089999999999999</v>
          </cell>
          <cell r="O27">
            <v>7.2499999999999995E-2</v>
          </cell>
          <cell r="P27">
            <v>1.2899999999999999E-6</v>
          </cell>
          <cell r="Q27">
            <v>1.6786499999999999E-2</v>
          </cell>
          <cell r="R27">
            <v>68930</v>
          </cell>
          <cell r="S27">
            <v>1.2999999999999999E-3</v>
          </cell>
          <cell r="T27">
            <v>0.37969999999999998</v>
          </cell>
          <cell r="U27">
            <v>7.6700000000000004E-2</v>
          </cell>
          <cell r="V27">
            <v>7.3200000000000004E-7</v>
          </cell>
          <cell r="W27">
            <v>7.6122999999999998E-3</v>
          </cell>
        </row>
        <row r="28">
          <cell r="C28" t="str">
            <v>rs1334576</v>
          </cell>
          <cell r="D28">
            <v>6</v>
          </cell>
          <cell r="E28">
            <v>7211818</v>
          </cell>
          <cell r="F28" t="str">
            <v>RREB1</v>
          </cell>
          <cell r="G28" t="str">
            <v>G195R</v>
          </cell>
          <cell r="H28" t="str">
            <v>rs1294410</v>
          </cell>
          <cell r="I28" t="str">
            <v>G</v>
          </cell>
          <cell r="J28" t="str">
            <v>A</v>
          </cell>
          <cell r="L28">
            <v>226654</v>
          </cell>
          <cell r="M28">
            <v>0.55740000000000001</v>
          </cell>
          <cell r="N28">
            <v>2.0199999999999999E-2</v>
          </cell>
          <cell r="O28">
            <v>3.0000000000000001E-3</v>
          </cell>
          <cell r="P28">
            <v>1.36E-11</v>
          </cell>
          <cell r="Q28">
            <v>0.14740420000000001</v>
          </cell>
          <cell r="R28">
            <v>193392</v>
          </cell>
          <cell r="S28">
            <v>0.57179999999999997</v>
          </cell>
          <cell r="T28">
            <v>2.0899999999999998E-2</v>
          </cell>
          <cell r="U28">
            <v>3.2000000000000002E-3</v>
          </cell>
          <cell r="V28">
            <v>1.2199999999999999E-10</v>
          </cell>
          <cell r="W28">
            <v>8.2309400000000005E-2</v>
          </cell>
        </row>
        <row r="29">
          <cell r="C29" t="str">
            <v>rs146860658</v>
          </cell>
          <cell r="D29">
            <v>6</v>
          </cell>
          <cell r="E29">
            <v>26108117</v>
          </cell>
          <cell r="F29" t="str">
            <v>HIST1H1T</v>
          </cell>
          <cell r="G29" t="str">
            <v>A69T</v>
          </cell>
          <cell r="I29" t="str">
            <v>T</v>
          </cell>
          <cell r="J29" t="str">
            <v>C</v>
          </cell>
          <cell r="L29">
            <v>104955</v>
          </cell>
          <cell r="M29">
            <v>1.5E-3</v>
          </cell>
          <cell r="N29">
            <v>0.24640000000000001</v>
          </cell>
          <cell r="O29">
            <v>5.8000000000000003E-2</v>
          </cell>
          <cell r="P29">
            <v>2.1500000000000001E-5</v>
          </cell>
          <cell r="Q29">
            <v>0.62699170000000004</v>
          </cell>
          <cell r="R29">
            <v>74835</v>
          </cell>
          <cell r="S29">
            <v>1.9E-3</v>
          </cell>
          <cell r="T29">
            <v>0.26619999999999999</v>
          </cell>
          <cell r="U29">
            <v>5.96E-2</v>
          </cell>
          <cell r="V29">
            <v>7.9899999999999997E-6</v>
          </cell>
          <cell r="W29">
            <v>0.36417680000000002</v>
          </cell>
        </row>
        <row r="30">
          <cell r="C30" t="str">
            <v>rs9469913</v>
          </cell>
          <cell r="D30">
            <v>6</v>
          </cell>
          <cell r="E30">
            <v>34827085</v>
          </cell>
          <cell r="F30" t="str">
            <v>UHRF1BP1</v>
          </cell>
          <cell r="G30" t="str">
            <v>Q984H</v>
          </cell>
          <cell r="H30" t="str">
            <v>rs1776897</v>
          </cell>
          <cell r="I30" t="str">
            <v>A</v>
          </cell>
          <cell r="J30" t="str">
            <v>T</v>
          </cell>
          <cell r="L30">
            <v>168354</v>
          </cell>
          <cell r="M30">
            <v>0.84699999999999998</v>
          </cell>
          <cell r="N30">
            <v>1.72E-2</v>
          </cell>
          <cell r="O30">
            <v>4.8999999999999998E-3</v>
          </cell>
          <cell r="P30">
            <v>4.0220000000000002E-4</v>
          </cell>
          <cell r="Q30">
            <v>0.27479439999999999</v>
          </cell>
          <cell r="R30">
            <v>141268</v>
          </cell>
          <cell r="S30">
            <v>0.83550000000000002</v>
          </cell>
          <cell r="T30">
            <v>1.7600000000000001E-2</v>
          </cell>
          <cell r="U30">
            <v>5.1000000000000004E-3</v>
          </cell>
          <cell r="V30">
            <v>5.9179999999999996E-4</v>
          </cell>
          <cell r="W30">
            <v>0.41233819999999999</v>
          </cell>
        </row>
        <row r="31">
          <cell r="C31" t="str">
            <v>rs1892172</v>
          </cell>
          <cell r="D31">
            <v>6</v>
          </cell>
          <cell r="E31">
            <v>127476516</v>
          </cell>
          <cell r="F31" t="str">
            <v>RSPO3</v>
          </cell>
          <cell r="G31" t="str">
            <v>synonymous</v>
          </cell>
          <cell r="H31" t="str">
            <v>rs11961815, rs72959041, rs1936805</v>
          </cell>
          <cell r="I31" t="str">
            <v>A</v>
          </cell>
          <cell r="J31" t="str">
            <v>G</v>
          </cell>
          <cell r="L31">
            <v>226677</v>
          </cell>
          <cell r="M31">
            <v>0.54120000000000001</v>
          </cell>
          <cell r="N31">
            <v>1.84E-2</v>
          </cell>
          <cell r="O31">
            <v>3.0000000000000001E-3</v>
          </cell>
          <cell r="P31">
            <v>5.6100000000000003E-10</v>
          </cell>
          <cell r="Q31">
            <v>7.7400000000000002E-9</v>
          </cell>
          <cell r="R31">
            <v>193415</v>
          </cell>
          <cell r="S31">
            <v>0.53990000000000005</v>
          </cell>
          <cell r="T31">
            <v>2.0400000000000001E-2</v>
          </cell>
          <cell r="U31">
            <v>3.2000000000000002E-3</v>
          </cell>
          <cell r="V31">
            <v>1.8E-10</v>
          </cell>
          <cell r="W31">
            <v>4.3700000000000001E-8</v>
          </cell>
        </row>
        <row r="32">
          <cell r="C32" t="str">
            <v>rs139745911</v>
          </cell>
          <cell r="D32">
            <v>6</v>
          </cell>
          <cell r="E32">
            <v>127767954</v>
          </cell>
          <cell r="F32" t="str">
            <v>KIAA0408</v>
          </cell>
          <cell r="G32" t="str">
            <v>P504S</v>
          </cell>
          <cell r="I32" t="str">
            <v>A</v>
          </cell>
          <cell r="J32" t="str">
            <v>G</v>
          </cell>
          <cell r="L32">
            <v>188079</v>
          </cell>
          <cell r="M32">
            <v>9.4999999999999998E-3</v>
          </cell>
          <cell r="N32">
            <v>5.7000000000000002E-2</v>
          </cell>
          <cell r="O32">
            <v>1.6799999999999999E-2</v>
          </cell>
          <cell r="P32">
            <v>6.7679999999999997E-4</v>
          </cell>
          <cell r="Q32">
            <v>1.9819999999999999E-4</v>
          </cell>
          <cell r="R32">
            <v>174652</v>
          </cell>
          <cell r="S32">
            <v>1.01E-2</v>
          </cell>
          <cell r="T32">
            <v>5.5800000000000002E-2</v>
          </cell>
          <cell r="U32">
            <v>1.6799999999999999E-2</v>
          </cell>
          <cell r="V32">
            <v>9.2279999999999999E-4</v>
          </cell>
          <cell r="W32">
            <v>1.3210000000000001E-4</v>
          </cell>
        </row>
        <row r="33">
          <cell r="C33" t="str">
            <v>rs3734447</v>
          </cell>
          <cell r="D33">
            <v>6</v>
          </cell>
          <cell r="E33">
            <v>127771452</v>
          </cell>
          <cell r="G33" t="str">
            <v>S61R</v>
          </cell>
          <cell r="I33" t="str">
            <v>G</v>
          </cell>
          <cell r="J33" t="str">
            <v>T</v>
          </cell>
          <cell r="L33">
            <v>209829</v>
          </cell>
          <cell r="M33">
            <v>0.58789999999999998</v>
          </cell>
          <cell r="N33">
            <v>8.8999999999999999E-3</v>
          </cell>
          <cell r="O33">
            <v>3.0999999999999999E-3</v>
          </cell>
          <cell r="P33">
            <v>4.1349999999999998E-3</v>
          </cell>
          <cell r="Q33">
            <v>0.90699030000000003</v>
          </cell>
          <cell r="R33">
            <v>193206</v>
          </cell>
          <cell r="S33">
            <v>0.60229999999999995</v>
          </cell>
          <cell r="T33">
            <v>9.4000000000000004E-3</v>
          </cell>
          <cell r="U33">
            <v>3.2000000000000002E-3</v>
          </cell>
          <cell r="V33">
            <v>3.8730000000000001E-3</v>
          </cell>
          <cell r="W33">
            <v>0.89201649999999999</v>
          </cell>
        </row>
        <row r="34">
          <cell r="C34" t="str">
            <v>rs2303361</v>
          </cell>
          <cell r="D34">
            <v>7</v>
          </cell>
          <cell r="E34">
            <v>6449496</v>
          </cell>
          <cell r="F34" t="str">
            <v>DAGLB</v>
          </cell>
          <cell r="G34" t="str">
            <v>Q664R</v>
          </cell>
          <cell r="I34" t="str">
            <v>C</v>
          </cell>
          <cell r="J34" t="str">
            <v>T</v>
          </cell>
          <cell r="L34">
            <v>226385</v>
          </cell>
          <cell r="M34">
            <v>0.21759999999999999</v>
          </cell>
          <cell r="N34">
            <v>6.0000000000000001E-3</v>
          </cell>
          <cell r="O34">
            <v>3.5999999999999999E-3</v>
          </cell>
          <cell r="P34">
            <v>9.3450000000000005E-2</v>
          </cell>
          <cell r="Q34">
            <v>3.3766E-3</v>
          </cell>
          <cell r="R34">
            <v>193123</v>
          </cell>
          <cell r="S34">
            <v>0.22850000000000001</v>
          </cell>
          <cell r="T34">
            <v>7.0000000000000001E-3</v>
          </cell>
          <cell r="U34">
            <v>3.8E-3</v>
          </cell>
          <cell r="V34">
            <v>6.7369999999999999E-2</v>
          </cell>
          <cell r="W34">
            <v>6.6214000000000004E-3</v>
          </cell>
        </row>
        <row r="35">
          <cell r="C35" t="str">
            <v>rs146605392</v>
          </cell>
          <cell r="D35">
            <v>7</v>
          </cell>
          <cell r="E35">
            <v>47886522</v>
          </cell>
          <cell r="F35" t="str">
            <v>PKD1L1</v>
          </cell>
          <cell r="G35" t="str">
            <v>R1703H</v>
          </cell>
          <cell r="I35" t="str">
            <v>C</v>
          </cell>
          <cell r="J35" t="str">
            <v>T</v>
          </cell>
          <cell r="L35">
            <v>205786</v>
          </cell>
          <cell r="M35">
            <v>0.99929999999999997</v>
          </cell>
          <cell r="N35">
            <v>0.30570000000000003</v>
          </cell>
          <cell r="O35">
            <v>6.6500000000000004E-2</v>
          </cell>
          <cell r="P35">
            <v>4.2599999999999999E-6</v>
          </cell>
          <cell r="Q35">
            <v>1.5277000000000001E-3</v>
          </cell>
          <cell r="R35">
            <v>173271</v>
          </cell>
          <cell r="S35">
            <v>0.99909999999999999</v>
          </cell>
          <cell r="T35">
            <v>0.3251</v>
          </cell>
          <cell r="U35">
            <v>6.7199999999999996E-2</v>
          </cell>
          <cell r="V35">
            <v>1.3400000000000001E-6</v>
          </cell>
          <cell r="W35">
            <v>1.4832999999999999E-3</v>
          </cell>
        </row>
        <row r="36">
          <cell r="C36" t="str">
            <v>rs35332062</v>
          </cell>
          <cell r="D36">
            <v>7</v>
          </cell>
          <cell r="E36">
            <v>73012042</v>
          </cell>
          <cell r="F36" t="str">
            <v>MLXIPL</v>
          </cell>
          <cell r="G36" t="str">
            <v>A358V</v>
          </cell>
          <cell r="H36" t="str">
            <v>rs6976930</v>
          </cell>
          <cell r="I36" t="str">
            <v>G</v>
          </cell>
          <cell r="J36" t="str">
            <v>A</v>
          </cell>
          <cell r="L36">
            <v>226710</v>
          </cell>
          <cell r="M36">
            <v>0.88060000000000005</v>
          </cell>
          <cell r="N36">
            <v>1.6E-2</v>
          </cell>
          <cell r="O36">
            <v>4.5999999999999999E-3</v>
          </cell>
          <cell r="P36">
            <v>5.0049999999999997E-4</v>
          </cell>
          <cell r="Q36">
            <v>0.14534749999999999</v>
          </cell>
          <cell r="R36">
            <v>193448</v>
          </cell>
          <cell r="S36">
            <v>0.87580000000000002</v>
          </cell>
          <cell r="T36">
            <v>1.6500000000000001E-2</v>
          </cell>
          <cell r="U36">
            <v>4.8999999999999998E-3</v>
          </cell>
          <cell r="V36">
            <v>7.2599999999999997E-4</v>
          </cell>
          <cell r="W36">
            <v>0.14982799999999999</v>
          </cell>
        </row>
        <row r="37">
          <cell r="C37" t="str">
            <v>rs3812316</v>
          </cell>
          <cell r="D37">
            <v>7</v>
          </cell>
          <cell r="E37">
            <v>73020337</v>
          </cell>
          <cell r="G37" t="str">
            <v>Q241H</v>
          </cell>
          <cell r="I37" t="str">
            <v>C</v>
          </cell>
          <cell r="J37" t="str">
            <v>G</v>
          </cell>
          <cell r="L37">
            <v>215797</v>
          </cell>
          <cell r="M37">
            <v>0.88160000000000005</v>
          </cell>
          <cell r="N37">
            <v>1.5100000000000001E-2</v>
          </cell>
          <cell r="O37">
            <v>4.7000000000000002E-3</v>
          </cell>
          <cell r="P37">
            <v>1.431E-3</v>
          </cell>
          <cell r="Q37">
            <v>5.7995199999999997E-2</v>
          </cell>
          <cell r="R37">
            <v>182535</v>
          </cell>
          <cell r="S37">
            <v>0.87590000000000001</v>
          </cell>
          <cell r="T37">
            <v>1.55E-2</v>
          </cell>
          <cell r="U37">
            <v>5.0000000000000001E-3</v>
          </cell>
          <cell r="V37">
            <v>2.0639999999999999E-3</v>
          </cell>
          <cell r="W37">
            <v>6.2659699999999999E-2</v>
          </cell>
        </row>
        <row r="38">
          <cell r="C38" t="str">
            <v>rs1935</v>
          </cell>
          <cell r="D38">
            <v>10</v>
          </cell>
          <cell r="E38">
            <v>64927823</v>
          </cell>
          <cell r="F38" t="str">
            <v>JMJD1C</v>
          </cell>
          <cell r="G38" t="str">
            <v>E2535D</v>
          </cell>
          <cell r="I38" t="str">
            <v>C</v>
          </cell>
          <cell r="J38" t="str">
            <v>G</v>
          </cell>
          <cell r="L38">
            <v>222526</v>
          </cell>
          <cell r="M38">
            <v>0.51800000000000002</v>
          </cell>
          <cell r="N38">
            <v>5.8999999999999999E-3</v>
          </cell>
          <cell r="O38">
            <v>3.0000000000000001E-3</v>
          </cell>
          <cell r="P38">
            <v>5.0020000000000002E-2</v>
          </cell>
          <cell r="Q38">
            <v>9.6274200000000004E-2</v>
          </cell>
          <cell r="R38">
            <v>189264</v>
          </cell>
          <cell r="S38">
            <v>0.51690000000000003</v>
          </cell>
          <cell r="T38">
            <v>8.0000000000000002E-3</v>
          </cell>
          <cell r="U38">
            <v>3.3E-3</v>
          </cell>
          <cell r="V38">
            <v>1.44E-2</v>
          </cell>
          <cell r="W38">
            <v>0.22076309999999999</v>
          </cell>
        </row>
        <row r="39">
          <cell r="C39" t="str">
            <v>rs17417407</v>
          </cell>
          <cell r="D39">
            <v>10</v>
          </cell>
          <cell r="E39">
            <v>95931087</v>
          </cell>
          <cell r="F39" t="str">
            <v>PLCE1</v>
          </cell>
          <cell r="G39" t="str">
            <v>R240L</v>
          </cell>
          <cell r="H39" t="str">
            <v>rs10786152</v>
          </cell>
          <cell r="I39" t="str">
            <v>T</v>
          </cell>
          <cell r="J39" t="str">
            <v>G</v>
          </cell>
          <cell r="L39">
            <v>226727</v>
          </cell>
          <cell r="M39">
            <v>0.17680000000000001</v>
          </cell>
          <cell r="N39">
            <v>1.67E-2</v>
          </cell>
          <cell r="O39">
            <v>3.8999999999999998E-3</v>
          </cell>
          <cell r="P39">
            <v>1.8499999999999999E-5</v>
          </cell>
          <cell r="Q39">
            <v>0.59136100000000003</v>
          </cell>
          <cell r="R39">
            <v>193465</v>
          </cell>
          <cell r="S39">
            <v>0.1628</v>
          </cell>
          <cell r="T39">
            <v>1.8599999999999998E-2</v>
          </cell>
          <cell r="U39">
            <v>4.3E-3</v>
          </cell>
          <cell r="V39">
            <v>1.8E-5</v>
          </cell>
          <cell r="W39">
            <v>0.7216205</v>
          </cell>
        </row>
        <row r="40">
          <cell r="C40" t="str">
            <v>rs284860</v>
          </cell>
          <cell r="D40">
            <v>10</v>
          </cell>
          <cell r="E40">
            <v>104572963</v>
          </cell>
          <cell r="F40" t="str">
            <v>WBP1L</v>
          </cell>
          <cell r="G40" t="str">
            <v>S323P</v>
          </cell>
          <cell r="H40" t="str">
            <v>rs3862030, rs7917772, rs6163</v>
          </cell>
          <cell r="I40" t="str">
            <v>T</v>
          </cell>
          <cell r="J40" t="str">
            <v>C</v>
          </cell>
          <cell r="L40">
            <v>225335</v>
          </cell>
          <cell r="M40">
            <v>0.40570000000000001</v>
          </cell>
          <cell r="N40">
            <v>-3.8E-3</v>
          </cell>
          <cell r="O40">
            <v>3.0000000000000001E-3</v>
          </cell>
          <cell r="P40">
            <v>0.21210000000000001</v>
          </cell>
          <cell r="Q40">
            <v>6.7960000000000004E-4</v>
          </cell>
          <cell r="R40">
            <v>192073</v>
          </cell>
          <cell r="S40">
            <v>0.40550000000000003</v>
          </cell>
          <cell r="T40">
            <v>-6.1000000000000004E-3</v>
          </cell>
          <cell r="U40">
            <v>3.3E-3</v>
          </cell>
          <cell r="V40">
            <v>6.2539999999999998E-2</v>
          </cell>
          <cell r="W40">
            <v>3.4E-5</v>
          </cell>
        </row>
        <row r="41">
          <cell r="C41" t="str">
            <v>rs138315382</v>
          </cell>
          <cell r="D41">
            <v>10</v>
          </cell>
          <cell r="E41">
            <v>123279643</v>
          </cell>
          <cell r="F41" t="str">
            <v>FGFR2</v>
          </cell>
          <cell r="G41" t="str">
            <v>synonymous</v>
          </cell>
          <cell r="I41" t="str">
            <v>T</v>
          </cell>
          <cell r="J41" t="str">
            <v>C</v>
          </cell>
          <cell r="L41">
            <v>113541</v>
          </cell>
          <cell r="M41">
            <v>1.1000000000000001E-3</v>
          </cell>
          <cell r="N41">
            <v>0.32750000000000001</v>
          </cell>
          <cell r="O41">
            <v>6.5100000000000005E-2</v>
          </cell>
          <cell r="P41">
            <v>4.89E-7</v>
          </cell>
          <cell r="Q41">
            <v>0.10897859999999999</v>
          </cell>
          <cell r="R41">
            <v>83489</v>
          </cell>
          <cell r="S41">
            <v>1.2999999999999999E-3</v>
          </cell>
          <cell r="T41">
            <v>0.36580000000000001</v>
          </cell>
          <cell r="U41">
            <v>6.88E-2</v>
          </cell>
          <cell r="V41">
            <v>1.04E-7</v>
          </cell>
          <cell r="W41">
            <v>3.6247099999999997E-2</v>
          </cell>
        </row>
        <row r="42">
          <cell r="C42" t="str">
            <v>rs35169799</v>
          </cell>
          <cell r="D42">
            <v>11</v>
          </cell>
          <cell r="E42">
            <v>64031241</v>
          </cell>
          <cell r="F42" t="str">
            <v>PLCB3</v>
          </cell>
          <cell r="G42" t="str">
            <v>S778L</v>
          </cell>
          <cell r="H42" t="str">
            <v>rs11231693</v>
          </cell>
          <cell r="I42" t="str">
            <v>T</v>
          </cell>
          <cell r="J42" t="str">
            <v>C</v>
          </cell>
          <cell r="L42">
            <v>226713</v>
          </cell>
          <cell r="M42">
            <v>6.08E-2</v>
          </cell>
          <cell r="N42">
            <v>1.61E-2</v>
          </cell>
          <cell r="O42">
            <v>6.1999999999999998E-3</v>
          </cell>
          <cell r="P42">
            <v>9.5600000000000008E-3</v>
          </cell>
          <cell r="Q42">
            <v>1.27E-4</v>
          </cell>
          <cell r="R42">
            <v>193451</v>
          </cell>
          <cell r="S42">
            <v>6.7100000000000007E-2</v>
          </cell>
          <cell r="T42">
            <v>1.2200000000000001E-2</v>
          </cell>
          <cell r="U42">
            <v>6.4000000000000003E-3</v>
          </cell>
          <cell r="V42">
            <v>5.7829999999999999E-2</v>
          </cell>
          <cell r="W42">
            <v>2.4600000000000002E-5</v>
          </cell>
        </row>
        <row r="43">
          <cell r="C43" t="str">
            <v>rs7114037</v>
          </cell>
          <cell r="D43">
            <v>11</v>
          </cell>
          <cell r="E43">
            <v>65403651</v>
          </cell>
          <cell r="F43" t="str">
            <v>PCNXL3</v>
          </cell>
          <cell r="G43" t="str">
            <v>H1822Q</v>
          </cell>
          <cell r="I43" t="str">
            <v>C</v>
          </cell>
          <cell r="J43" t="str">
            <v>A</v>
          </cell>
          <cell r="L43">
            <v>222814</v>
          </cell>
          <cell r="M43">
            <v>0.95499999999999996</v>
          </cell>
          <cell r="N43">
            <v>2.4199999999999999E-2</v>
          </cell>
          <cell r="O43">
            <v>7.3000000000000001E-3</v>
          </cell>
          <cell r="P43">
            <v>8.518E-4</v>
          </cell>
          <cell r="Q43">
            <v>0.43734580000000001</v>
          </cell>
          <cell r="R43">
            <v>189552</v>
          </cell>
          <cell r="S43">
            <v>0.94930000000000003</v>
          </cell>
          <cell r="T43">
            <v>2.5000000000000001E-2</v>
          </cell>
          <cell r="U43">
            <v>7.4000000000000003E-3</v>
          </cell>
          <cell r="V43">
            <v>6.9850000000000001E-4</v>
          </cell>
          <cell r="W43">
            <v>0.54766959999999998</v>
          </cell>
        </row>
        <row r="44">
          <cell r="C44" t="str">
            <v>rs145878042</v>
          </cell>
          <cell r="D44">
            <v>12</v>
          </cell>
          <cell r="E44">
            <v>48143315</v>
          </cell>
          <cell r="F44" t="str">
            <v>RAPGEF3</v>
          </cell>
          <cell r="G44" t="str">
            <v>L300P</v>
          </cell>
          <cell r="I44" t="str">
            <v>A</v>
          </cell>
          <cell r="J44" t="str">
            <v>G</v>
          </cell>
          <cell r="L44">
            <v>224600</v>
          </cell>
          <cell r="M44">
            <v>0.98960000000000004</v>
          </cell>
          <cell r="N44">
            <v>5.3499999999999999E-2</v>
          </cell>
          <cell r="O44">
            <v>1.47E-2</v>
          </cell>
          <cell r="P44">
            <v>2.6659999999999998E-4</v>
          </cell>
          <cell r="Q44">
            <v>7.3485E-3</v>
          </cell>
          <cell r="R44">
            <v>191338</v>
          </cell>
          <cell r="S44">
            <v>0.98829999999999996</v>
          </cell>
          <cell r="T44">
            <v>4.9700000000000001E-2</v>
          </cell>
          <cell r="U44">
            <v>1.4999999999999999E-2</v>
          </cell>
          <cell r="V44">
            <v>8.8670000000000003E-4</v>
          </cell>
          <cell r="W44">
            <v>4.2421000000000004E-3</v>
          </cell>
        </row>
        <row r="45">
          <cell r="C45" t="str">
            <v>rs3764002</v>
          </cell>
          <cell r="D45">
            <v>12</v>
          </cell>
          <cell r="E45">
            <v>108618630</v>
          </cell>
          <cell r="F45" t="str">
            <v>WSCD2</v>
          </cell>
          <cell r="G45" t="str">
            <v>T266I</v>
          </cell>
          <cell r="I45" t="str">
            <v>C</v>
          </cell>
          <cell r="J45" t="str">
            <v>T</v>
          </cell>
          <cell r="L45">
            <v>226691</v>
          </cell>
          <cell r="M45">
            <v>0.72899999999999998</v>
          </cell>
          <cell r="N45">
            <v>1.6500000000000001E-2</v>
          </cell>
          <cell r="O45">
            <v>3.3999999999999998E-3</v>
          </cell>
          <cell r="P45">
            <v>8.9100000000000002E-7</v>
          </cell>
          <cell r="Q45">
            <v>0.5513747</v>
          </cell>
          <cell r="R45">
            <v>193429</v>
          </cell>
          <cell r="S45">
            <v>0.73399999999999999</v>
          </cell>
          <cell r="T45">
            <v>1.6199999999999999E-2</v>
          </cell>
          <cell r="U45">
            <v>3.5999999999999999E-3</v>
          </cell>
          <cell r="V45">
            <v>7.5299999999999999E-6</v>
          </cell>
          <cell r="W45">
            <v>0.61080420000000002</v>
          </cell>
        </row>
        <row r="46">
          <cell r="C46" t="str">
            <v>rs1798192</v>
          </cell>
          <cell r="D46">
            <v>12</v>
          </cell>
          <cell r="E46">
            <v>123200768</v>
          </cell>
          <cell r="F46" t="str">
            <v>HCAR3</v>
          </cell>
          <cell r="G46" t="str">
            <v>T173P</v>
          </cell>
          <cell r="H46" t="str">
            <v>rs4765219, rs863750</v>
          </cell>
          <cell r="I46" t="str">
            <v>T</v>
          </cell>
          <cell r="J46" t="str">
            <v>G</v>
          </cell>
          <cell r="L46">
            <v>210046</v>
          </cell>
          <cell r="M46">
            <v>0.44540000000000002</v>
          </cell>
          <cell r="N46">
            <v>4.3E-3</v>
          </cell>
          <cell r="O46">
            <v>4.7000000000000002E-3</v>
          </cell>
          <cell r="P46">
            <v>0.36549999999999999</v>
          </cell>
          <cell r="Q46">
            <v>6.7552999999999997E-3</v>
          </cell>
          <cell r="R46">
            <v>193423</v>
          </cell>
          <cell r="S46">
            <v>0.43509999999999999</v>
          </cell>
          <cell r="T46">
            <v>6.6E-3</v>
          </cell>
          <cell r="U46">
            <v>4.8999999999999998E-3</v>
          </cell>
          <cell r="V46">
            <v>0.1734</v>
          </cell>
          <cell r="W46">
            <v>6.6847E-3</v>
          </cell>
        </row>
        <row r="47">
          <cell r="C47" t="str">
            <v>rs58843120</v>
          </cell>
          <cell r="D47">
            <v>12</v>
          </cell>
          <cell r="E47">
            <v>123444507</v>
          </cell>
          <cell r="F47" t="str">
            <v>ABCB9</v>
          </cell>
          <cell r="G47" t="str">
            <v>F92L</v>
          </cell>
          <cell r="I47" t="str">
            <v>G</v>
          </cell>
          <cell r="J47" t="str">
            <v>T</v>
          </cell>
          <cell r="L47">
            <v>219520</v>
          </cell>
          <cell r="M47">
            <v>0.98740000000000006</v>
          </cell>
          <cell r="N47">
            <v>4.3499999999999997E-2</v>
          </cell>
          <cell r="O47">
            <v>1.37E-2</v>
          </cell>
          <cell r="P47">
            <v>1.4580000000000001E-3</v>
          </cell>
          <cell r="Q47">
            <v>0.35055969999999997</v>
          </cell>
          <cell r="R47">
            <v>187550</v>
          </cell>
          <cell r="S47">
            <v>0.98640000000000005</v>
          </cell>
          <cell r="T47">
            <v>4.6100000000000002E-2</v>
          </cell>
          <cell r="U47">
            <v>1.4200000000000001E-2</v>
          </cell>
          <cell r="V47">
            <v>1.1609999999999999E-3</v>
          </cell>
          <cell r="W47">
            <v>0.36059089999999999</v>
          </cell>
        </row>
        <row r="48">
          <cell r="C48" t="str">
            <v>rs11057353</v>
          </cell>
          <cell r="D48">
            <v>12</v>
          </cell>
          <cell r="E48">
            <v>124265687</v>
          </cell>
          <cell r="F48" t="str">
            <v>DNAH10</v>
          </cell>
          <cell r="G48" t="str">
            <v>S228P</v>
          </cell>
          <cell r="I48" t="str">
            <v>T</v>
          </cell>
          <cell r="J48" t="str">
            <v>C</v>
          </cell>
          <cell r="L48">
            <v>226659</v>
          </cell>
          <cell r="M48">
            <v>0.36990000000000001</v>
          </cell>
          <cell r="N48">
            <v>5.3E-3</v>
          </cell>
          <cell r="O48">
            <v>3.0999999999999999E-3</v>
          </cell>
          <cell r="P48">
            <v>8.344E-2</v>
          </cell>
          <cell r="Q48">
            <v>2.6799999999999998E-8</v>
          </cell>
          <cell r="R48">
            <v>193397</v>
          </cell>
          <cell r="S48">
            <v>0.37869999999999998</v>
          </cell>
          <cell r="T48">
            <v>5.0000000000000001E-3</v>
          </cell>
          <cell r="U48">
            <v>3.3E-3</v>
          </cell>
          <cell r="V48">
            <v>0.1293</v>
          </cell>
          <cell r="W48">
            <v>3.8199999999999998E-8</v>
          </cell>
        </row>
        <row r="49">
          <cell r="C49" t="str">
            <v>rs34934281</v>
          </cell>
          <cell r="D49">
            <v>12</v>
          </cell>
          <cell r="E49">
            <v>124330311</v>
          </cell>
          <cell r="G49" t="str">
            <v>T1785M</v>
          </cell>
          <cell r="I49" t="str">
            <v>C</v>
          </cell>
          <cell r="J49" t="str">
            <v>T</v>
          </cell>
          <cell r="L49">
            <v>226682</v>
          </cell>
          <cell r="M49">
            <v>0.89129999999999998</v>
          </cell>
          <cell r="N49">
            <v>6.3E-3</v>
          </cell>
          <cell r="O49">
            <v>4.7999999999999996E-3</v>
          </cell>
          <cell r="P49">
            <v>0.18579999999999999</v>
          </cell>
          <cell r="Q49">
            <v>3.1300000000000002E-8</v>
          </cell>
          <cell r="R49">
            <v>193420</v>
          </cell>
          <cell r="S49">
            <v>0.8831</v>
          </cell>
          <cell r="T49">
            <v>5.8999999999999999E-3</v>
          </cell>
          <cell r="U49">
            <v>5.0000000000000001E-3</v>
          </cell>
          <cell r="V49">
            <v>0.23269999999999999</v>
          </cell>
          <cell r="W49">
            <v>3.9300000000000001E-8</v>
          </cell>
        </row>
        <row r="50">
          <cell r="C50" t="str">
            <v>rs11057401</v>
          </cell>
          <cell r="D50">
            <v>12</v>
          </cell>
          <cell r="E50">
            <v>124427306</v>
          </cell>
          <cell r="F50" t="str">
            <v>CCDC92</v>
          </cell>
          <cell r="G50" t="str">
            <v>S53C</v>
          </cell>
          <cell r="I50" t="str">
            <v>T</v>
          </cell>
          <cell r="J50" t="str">
            <v>A</v>
          </cell>
          <cell r="L50">
            <v>223324</v>
          </cell>
          <cell r="M50">
            <v>0.70079999999999998</v>
          </cell>
          <cell r="N50">
            <v>1.34E-2</v>
          </cell>
          <cell r="O50">
            <v>3.3E-3</v>
          </cell>
          <cell r="P50">
            <v>4.2500000000000003E-5</v>
          </cell>
          <cell r="Q50">
            <v>5.4899999999999999E-11</v>
          </cell>
          <cell r="R50">
            <v>190062</v>
          </cell>
          <cell r="S50">
            <v>0.68689999999999996</v>
          </cell>
          <cell r="T50">
            <v>1.4200000000000001E-2</v>
          </cell>
          <cell r="U50">
            <v>3.5000000000000001E-3</v>
          </cell>
          <cell r="V50">
            <v>4.71E-5</v>
          </cell>
          <cell r="W50">
            <v>7.1699999999999995E-11</v>
          </cell>
        </row>
        <row r="51">
          <cell r="C51" t="str">
            <v>rs148108950</v>
          </cell>
          <cell r="D51">
            <v>13</v>
          </cell>
          <cell r="E51">
            <v>96665697</v>
          </cell>
          <cell r="F51" t="str">
            <v>UGGT2</v>
          </cell>
          <cell r="G51" t="str">
            <v>P175L</v>
          </cell>
          <cell r="I51" t="str">
            <v>A</v>
          </cell>
          <cell r="J51" t="str">
            <v>G</v>
          </cell>
          <cell r="L51">
            <v>203009</v>
          </cell>
          <cell r="M51">
            <v>5.4999999999999997E-3</v>
          </cell>
          <cell r="N51">
            <v>0.12989999999999999</v>
          </cell>
          <cell r="O51">
            <v>2.4E-2</v>
          </cell>
          <cell r="P51">
            <v>6.1399999999999994E-8</v>
          </cell>
          <cell r="Q51">
            <v>1.53E-6</v>
          </cell>
          <cell r="R51">
            <v>172943</v>
          </cell>
          <cell r="S51">
            <v>7.0000000000000001E-3</v>
          </cell>
          <cell r="T51">
            <v>0.1293</v>
          </cell>
          <cell r="U51">
            <v>2.4E-2</v>
          </cell>
          <cell r="V51">
            <v>7.1600000000000006E-8</v>
          </cell>
          <cell r="W51">
            <v>7.2600000000000002E-7</v>
          </cell>
        </row>
        <row r="52">
          <cell r="C52" t="str">
            <v>rs1042704</v>
          </cell>
          <cell r="D52">
            <v>14</v>
          </cell>
          <cell r="E52">
            <v>23312594</v>
          </cell>
          <cell r="F52" t="str">
            <v>MMP14</v>
          </cell>
          <cell r="G52" t="str">
            <v>D273N</v>
          </cell>
          <cell r="I52" t="str">
            <v>A</v>
          </cell>
          <cell r="J52" t="str">
            <v>G</v>
          </cell>
          <cell r="L52">
            <v>226646</v>
          </cell>
          <cell r="M52">
            <v>0.20169999999999999</v>
          </cell>
          <cell r="N52">
            <v>2.06E-2</v>
          </cell>
          <cell r="O52">
            <v>3.7000000000000002E-3</v>
          </cell>
          <cell r="P52">
            <v>2.6000000000000001E-8</v>
          </cell>
          <cell r="Q52">
            <v>2.6069999999999999E-4</v>
          </cell>
          <cell r="R52">
            <v>193384</v>
          </cell>
          <cell r="S52">
            <v>0.20669999999999999</v>
          </cell>
          <cell r="T52">
            <v>2.1000000000000001E-2</v>
          </cell>
          <cell r="U52">
            <v>3.8999999999999998E-3</v>
          </cell>
          <cell r="V52">
            <v>1.01E-7</v>
          </cell>
          <cell r="W52">
            <v>7.3760000000000004E-4</v>
          </cell>
        </row>
        <row r="53">
          <cell r="C53" t="str">
            <v>rs1051860</v>
          </cell>
          <cell r="D53">
            <v>14</v>
          </cell>
          <cell r="E53">
            <v>58838668</v>
          </cell>
          <cell r="F53" t="str">
            <v>ARID4A</v>
          </cell>
          <cell r="G53" t="str">
            <v>synonymous</v>
          </cell>
          <cell r="I53" t="str">
            <v>A</v>
          </cell>
          <cell r="J53" t="str">
            <v>G</v>
          </cell>
          <cell r="L53">
            <v>197674</v>
          </cell>
          <cell r="M53">
            <v>0.41270000000000001</v>
          </cell>
          <cell r="N53">
            <v>7.6E-3</v>
          </cell>
          <cell r="O53">
            <v>3.2000000000000002E-3</v>
          </cell>
          <cell r="P53">
            <v>1.729E-2</v>
          </cell>
          <cell r="Q53">
            <v>0.123918</v>
          </cell>
          <cell r="R53">
            <v>165473</v>
          </cell>
          <cell r="S53">
            <v>0.41310000000000002</v>
          </cell>
          <cell r="T53">
            <v>9.4999999999999998E-3</v>
          </cell>
          <cell r="U53">
            <v>3.5000000000000001E-3</v>
          </cell>
          <cell r="V53">
            <v>6.8669999999999998E-3</v>
          </cell>
          <cell r="W53">
            <v>0.126083</v>
          </cell>
        </row>
        <row r="54">
          <cell r="C54" t="str">
            <v>rs148151659</v>
          </cell>
          <cell r="D54">
            <v>14</v>
          </cell>
          <cell r="E54">
            <v>99876522</v>
          </cell>
          <cell r="F54" t="str">
            <v>SETD3</v>
          </cell>
          <cell r="G54" t="str">
            <v>A294T</v>
          </cell>
          <cell r="I54" t="str">
            <v>C</v>
          </cell>
          <cell r="J54" t="str">
            <v>T</v>
          </cell>
          <cell r="L54">
            <v>147752</v>
          </cell>
          <cell r="M54">
            <v>0.99990000000000001</v>
          </cell>
          <cell r="N54">
            <v>0.1226</v>
          </cell>
          <cell r="O54">
            <v>0.23580000000000001</v>
          </cell>
          <cell r="P54">
            <v>0.60309999999999997</v>
          </cell>
          <cell r="Q54">
            <v>6.1260000000000004E-3</v>
          </cell>
          <cell r="R54">
            <v>116625</v>
          </cell>
          <cell r="S54">
            <v>0.99990000000000001</v>
          </cell>
          <cell r="T54">
            <v>0.13880000000000001</v>
          </cell>
          <cell r="U54">
            <v>0.2427</v>
          </cell>
          <cell r="V54">
            <v>0.5675</v>
          </cell>
          <cell r="W54">
            <v>6.0023999999999997E-3</v>
          </cell>
        </row>
        <row r="55">
          <cell r="C55" t="str">
            <v>rs17677991</v>
          </cell>
          <cell r="D55">
            <v>15</v>
          </cell>
          <cell r="E55">
            <v>42032383</v>
          </cell>
          <cell r="F55" t="str">
            <v>MGA</v>
          </cell>
          <cell r="G55" t="str">
            <v>P1523A</v>
          </cell>
          <cell r="I55" t="str">
            <v>G</v>
          </cell>
          <cell r="J55" t="str">
            <v>C</v>
          </cell>
          <cell r="L55">
            <v>223581</v>
          </cell>
          <cell r="M55">
            <v>0.34749999999999998</v>
          </cell>
          <cell r="N55">
            <v>1.44E-2</v>
          </cell>
          <cell r="O55">
            <v>3.0999999999999999E-3</v>
          </cell>
          <cell r="P55">
            <v>4.3100000000000002E-6</v>
          </cell>
          <cell r="Q55">
            <v>0.90847120000000003</v>
          </cell>
          <cell r="R55">
            <v>190319</v>
          </cell>
          <cell r="S55">
            <v>0.3569</v>
          </cell>
          <cell r="T55">
            <v>1.6899999999999998E-2</v>
          </cell>
          <cell r="U55">
            <v>3.3999999999999998E-3</v>
          </cell>
          <cell r="V55">
            <v>5.6499999999999999E-7</v>
          </cell>
          <cell r="W55">
            <v>0.93118140000000005</v>
          </cell>
        </row>
        <row r="56">
          <cell r="C56" t="str">
            <v>rs3959569</v>
          </cell>
          <cell r="D56">
            <v>15</v>
          </cell>
          <cell r="E56">
            <v>42115747</v>
          </cell>
          <cell r="F56" t="str">
            <v>MAPKBP1</v>
          </cell>
          <cell r="G56" t="str">
            <v>R1240H</v>
          </cell>
          <cell r="I56" t="str">
            <v>C</v>
          </cell>
          <cell r="J56" t="str">
            <v>G</v>
          </cell>
          <cell r="L56">
            <v>142180</v>
          </cell>
          <cell r="M56">
            <v>0.31290000000000001</v>
          </cell>
          <cell r="N56">
            <v>1.17E-2</v>
          </cell>
          <cell r="O56">
            <v>4.1000000000000003E-3</v>
          </cell>
          <cell r="P56">
            <v>4.4799999999999996E-3</v>
          </cell>
          <cell r="Q56">
            <v>0.41386669999999998</v>
          </cell>
          <cell r="R56">
            <v>113503</v>
          </cell>
          <cell r="S56">
            <v>0.3508</v>
          </cell>
          <cell r="T56">
            <v>1.5800000000000002E-2</v>
          </cell>
          <cell r="U56">
            <v>4.4999999999999997E-3</v>
          </cell>
          <cell r="V56">
            <v>4.4789999999999999E-4</v>
          </cell>
          <cell r="W56">
            <v>0.63485380000000002</v>
          </cell>
        </row>
        <row r="57">
          <cell r="C57" t="str">
            <v>rs12593397</v>
          </cell>
          <cell r="D57">
            <v>15</v>
          </cell>
          <cell r="E57">
            <v>42166500</v>
          </cell>
          <cell r="F57" t="str">
            <v>SPTBN5</v>
          </cell>
          <cell r="G57" t="str">
            <v>R1560H</v>
          </cell>
          <cell r="I57" t="str">
            <v>T</v>
          </cell>
          <cell r="J57" t="str">
            <v>C</v>
          </cell>
          <cell r="L57">
            <v>219110</v>
          </cell>
          <cell r="M57">
            <v>0.43630000000000002</v>
          </cell>
          <cell r="N57">
            <v>5.1999999999999998E-3</v>
          </cell>
          <cell r="O57">
            <v>3.0999999999999999E-3</v>
          </cell>
          <cell r="P57">
            <v>9.0929999999999997E-2</v>
          </cell>
          <cell r="Q57">
            <v>3.4396299999999998E-2</v>
          </cell>
          <cell r="R57">
            <v>185848</v>
          </cell>
          <cell r="S57">
            <v>0.44330000000000003</v>
          </cell>
          <cell r="T57">
            <v>7.3000000000000001E-3</v>
          </cell>
          <cell r="U57">
            <v>3.3E-3</v>
          </cell>
          <cell r="V57">
            <v>2.6419999999999999E-2</v>
          </cell>
          <cell r="W57">
            <v>0.1477996</v>
          </cell>
        </row>
        <row r="58">
          <cell r="C58" t="str">
            <v>rs1715919</v>
          </cell>
          <cell r="D58">
            <v>15</v>
          </cell>
          <cell r="E58">
            <v>56756285</v>
          </cell>
          <cell r="F58" t="str">
            <v>MNS1</v>
          </cell>
          <cell r="G58" t="str">
            <v>Q55P</v>
          </cell>
          <cell r="H58" t="str">
            <v>rs8030605</v>
          </cell>
          <cell r="I58" t="str">
            <v>G</v>
          </cell>
          <cell r="J58" t="str">
            <v>T</v>
          </cell>
          <cell r="L58">
            <v>226632</v>
          </cell>
          <cell r="M58">
            <v>9.3100000000000002E-2</v>
          </cell>
          <cell r="N58">
            <v>1.4500000000000001E-2</v>
          </cell>
          <cell r="O58">
            <v>5.1000000000000004E-3</v>
          </cell>
          <cell r="P58">
            <v>4.4980000000000003E-3</v>
          </cell>
          <cell r="Q58">
            <v>2.7159900000000001E-2</v>
          </cell>
          <cell r="R58">
            <v>193370</v>
          </cell>
          <cell r="S58">
            <v>9.9099999999999994E-2</v>
          </cell>
          <cell r="T58">
            <v>1.6E-2</v>
          </cell>
          <cell r="U58">
            <v>5.3E-3</v>
          </cell>
          <cell r="V58">
            <v>2.6870000000000002E-3</v>
          </cell>
          <cell r="W58">
            <v>6.5767099999999995E-2</v>
          </cell>
        </row>
        <row r="59">
          <cell r="C59" t="str">
            <v>rs3810818</v>
          </cell>
          <cell r="D59">
            <v>16</v>
          </cell>
          <cell r="E59">
            <v>4432029</v>
          </cell>
          <cell r="F59" t="str">
            <v>VASN</v>
          </cell>
          <cell r="G59" t="str">
            <v>E384A</v>
          </cell>
          <cell r="I59" t="str">
            <v>A</v>
          </cell>
          <cell r="J59" t="str">
            <v>C</v>
          </cell>
          <cell r="L59">
            <v>207400</v>
          </cell>
          <cell r="M59">
            <v>0.23369999999999999</v>
          </cell>
          <cell r="N59">
            <v>1.34E-2</v>
          </cell>
          <cell r="O59">
            <v>3.7000000000000002E-3</v>
          </cell>
          <cell r="P59">
            <v>2.5839999999999999E-4</v>
          </cell>
          <cell r="Q59">
            <v>0.32585209999999998</v>
          </cell>
          <cell r="R59">
            <v>191078</v>
          </cell>
          <cell r="S59">
            <v>0.2243</v>
          </cell>
          <cell r="T59">
            <v>1.3599999999999999E-2</v>
          </cell>
          <cell r="U59">
            <v>3.8999999999999998E-3</v>
          </cell>
          <cell r="V59">
            <v>4.394E-4</v>
          </cell>
          <cell r="W59">
            <v>0.43192409999999998</v>
          </cell>
        </row>
        <row r="60">
          <cell r="C60" t="str">
            <v>rs3747579</v>
          </cell>
          <cell r="D60">
            <v>16</v>
          </cell>
          <cell r="E60">
            <v>4445327</v>
          </cell>
          <cell r="F60" t="str">
            <v>CORO7</v>
          </cell>
          <cell r="G60" t="str">
            <v>R193Q</v>
          </cell>
          <cell r="I60" t="str">
            <v>C</v>
          </cell>
          <cell r="J60" t="str">
            <v>T</v>
          </cell>
          <cell r="L60">
            <v>208838</v>
          </cell>
          <cell r="M60">
            <v>0.29749999999999999</v>
          </cell>
          <cell r="N60">
            <v>1.26E-2</v>
          </cell>
          <cell r="O60">
            <v>3.3999999999999998E-3</v>
          </cell>
          <cell r="P60">
            <v>2.2369999999999999E-4</v>
          </cell>
          <cell r="Q60">
            <v>4.3266300000000001E-2</v>
          </cell>
          <cell r="R60">
            <v>192215</v>
          </cell>
          <cell r="S60">
            <v>0.27910000000000001</v>
          </cell>
          <cell r="T60">
            <v>1.2800000000000001E-2</v>
          </cell>
          <cell r="U60">
            <v>3.5999999999999999E-3</v>
          </cell>
          <cell r="V60">
            <v>3.3060000000000001E-4</v>
          </cell>
          <cell r="W60">
            <v>4.8309900000000003E-2</v>
          </cell>
        </row>
        <row r="61">
          <cell r="C61" t="str">
            <v>rs1139653</v>
          </cell>
          <cell r="D61">
            <v>16</v>
          </cell>
          <cell r="E61">
            <v>4484396</v>
          </cell>
          <cell r="F61" t="str">
            <v>DNAJA3</v>
          </cell>
          <cell r="G61" t="str">
            <v>N75Y</v>
          </cell>
          <cell r="I61" t="str">
            <v>A</v>
          </cell>
          <cell r="J61" t="str">
            <v>T</v>
          </cell>
          <cell r="L61">
            <v>197716</v>
          </cell>
          <cell r="M61">
            <v>0.28620000000000001</v>
          </cell>
          <cell r="N61">
            <v>1.15E-2</v>
          </cell>
          <cell r="O61">
            <v>3.5000000000000001E-3</v>
          </cell>
          <cell r="P61">
            <v>1.0560000000000001E-3</v>
          </cell>
          <cell r="Q61">
            <v>0.14241229999999999</v>
          </cell>
          <cell r="R61">
            <v>181093</v>
          </cell>
          <cell r="S61">
            <v>0.27679999999999999</v>
          </cell>
          <cell r="T61">
            <v>1.3299999999999999E-2</v>
          </cell>
          <cell r="U61">
            <v>3.7000000000000002E-3</v>
          </cell>
          <cell r="V61">
            <v>3.3139999999999998E-4</v>
          </cell>
          <cell r="W61">
            <v>0.26770949999999999</v>
          </cell>
        </row>
        <row r="62">
          <cell r="C62" t="str">
            <v>rs1800069</v>
          </cell>
          <cell r="D62">
            <v>16</v>
          </cell>
          <cell r="E62">
            <v>14041570</v>
          </cell>
          <cell r="F62" t="str">
            <v>ERCC4</v>
          </cell>
          <cell r="G62" t="str">
            <v>I706T</v>
          </cell>
          <cell r="I62" t="str">
            <v>T</v>
          </cell>
          <cell r="J62" t="str">
            <v>C</v>
          </cell>
          <cell r="L62">
            <v>221869</v>
          </cell>
          <cell r="M62">
            <v>0.99590000000000001</v>
          </cell>
          <cell r="N62">
            <v>-4.4699999999999997E-2</v>
          </cell>
          <cell r="O62">
            <v>0.1115</v>
          </cell>
          <cell r="P62">
            <v>0.68840000000000001</v>
          </cell>
          <cell r="Q62">
            <v>0.49325219999999997</v>
          </cell>
          <cell r="R62">
            <v>188607</v>
          </cell>
          <cell r="S62">
            <v>0.99590000000000001</v>
          </cell>
          <cell r="T62">
            <v>-4.4699999999999997E-2</v>
          </cell>
          <cell r="U62">
            <v>0.1115</v>
          </cell>
          <cell r="V62">
            <v>0.68840000000000001</v>
          </cell>
          <cell r="W62">
            <v>0.49325219999999997</v>
          </cell>
        </row>
        <row r="63">
          <cell r="C63" t="str">
            <v>rs9922085</v>
          </cell>
          <cell r="D63">
            <v>16</v>
          </cell>
          <cell r="E63">
            <v>67397580</v>
          </cell>
          <cell r="F63" t="str">
            <v>LRRC36</v>
          </cell>
          <cell r="G63" t="str">
            <v>R101P</v>
          </cell>
          <cell r="H63" t="str">
            <v>rs6499129</v>
          </cell>
          <cell r="I63" t="str">
            <v>G</v>
          </cell>
          <cell r="J63" t="str">
            <v>C</v>
          </cell>
          <cell r="L63">
            <v>223357</v>
          </cell>
          <cell r="M63">
            <v>0.9425</v>
          </cell>
          <cell r="N63">
            <v>3.2099999999999997E-2</v>
          </cell>
          <cell r="O63">
            <v>6.7000000000000002E-3</v>
          </cell>
          <cell r="P63">
            <v>1.6199999999999999E-6</v>
          </cell>
          <cell r="Q63">
            <v>0.58924319999999997</v>
          </cell>
          <cell r="R63">
            <v>190095</v>
          </cell>
          <cell r="S63">
            <v>0.95640000000000003</v>
          </cell>
          <cell r="T63">
            <v>2.92E-2</v>
          </cell>
          <cell r="U63">
            <v>7.9000000000000008E-3</v>
          </cell>
          <cell r="V63">
            <v>2.143E-4</v>
          </cell>
          <cell r="W63">
            <v>0.19196240000000001</v>
          </cell>
        </row>
        <row r="64">
          <cell r="C64" t="str">
            <v>rs8052655</v>
          </cell>
          <cell r="D64">
            <v>16</v>
          </cell>
          <cell r="E64">
            <v>67409180</v>
          </cell>
          <cell r="G64" t="str">
            <v>G388S</v>
          </cell>
          <cell r="I64" t="str">
            <v>G</v>
          </cell>
          <cell r="J64" t="str">
            <v>A</v>
          </cell>
          <cell r="L64">
            <v>225505</v>
          </cell>
          <cell r="M64">
            <v>0.94269999999999998</v>
          </cell>
          <cell r="N64">
            <v>3.0300000000000001E-2</v>
          </cell>
          <cell r="O64">
            <v>6.7000000000000002E-3</v>
          </cell>
          <cell r="P64">
            <v>5.8000000000000004E-6</v>
          </cell>
          <cell r="Q64">
            <v>0.39962239999999999</v>
          </cell>
          <cell r="R64">
            <v>192243</v>
          </cell>
          <cell r="S64">
            <v>0.95660000000000001</v>
          </cell>
          <cell r="T64">
            <v>2.64E-2</v>
          </cell>
          <cell r="U64">
            <v>7.9000000000000008E-3</v>
          </cell>
          <cell r="V64">
            <v>7.8080000000000001E-4</v>
          </cell>
          <cell r="W64">
            <v>9.7632099999999999E-2</v>
          </cell>
        </row>
        <row r="65">
          <cell r="C65" t="str">
            <v>rs897453</v>
          </cell>
          <cell r="D65">
            <v>17</v>
          </cell>
          <cell r="E65">
            <v>17425631</v>
          </cell>
          <cell r="F65" t="str">
            <v>PEMT</v>
          </cell>
          <cell r="G65" t="str">
            <v>V58L</v>
          </cell>
          <cell r="H65" t="str">
            <v>rs4646404</v>
          </cell>
          <cell r="I65" t="str">
            <v>C</v>
          </cell>
          <cell r="J65" t="str">
            <v>T</v>
          </cell>
          <cell r="L65">
            <v>226756</v>
          </cell>
          <cell r="M65">
            <v>0.57509999999999994</v>
          </cell>
          <cell r="N65">
            <v>2.6200000000000001E-2</v>
          </cell>
          <cell r="O65">
            <v>5.4000000000000003E-3</v>
          </cell>
          <cell r="P65">
            <v>1.2899999999999999E-6</v>
          </cell>
          <cell r="Q65">
            <v>0.81918690000000005</v>
          </cell>
          <cell r="R65">
            <v>193494</v>
          </cell>
          <cell r="S65">
            <v>0.53949999999999998</v>
          </cell>
          <cell r="T65">
            <v>2.7099999999999999E-2</v>
          </cell>
          <cell r="U65">
            <v>5.4999999999999997E-3</v>
          </cell>
          <cell r="V65">
            <v>9.6899999999999996E-7</v>
          </cell>
          <cell r="W65">
            <v>0.78166530000000001</v>
          </cell>
        </row>
        <row r="66">
          <cell r="C66" t="str">
            <v>rs201010410</v>
          </cell>
          <cell r="D66">
            <v>19</v>
          </cell>
          <cell r="E66">
            <v>422171</v>
          </cell>
          <cell r="F66" t="str">
            <v>SHC2</v>
          </cell>
          <cell r="G66" t="str">
            <v>L532R</v>
          </cell>
          <cell r="I66" t="str">
            <v>C</v>
          </cell>
          <cell r="J66" t="str">
            <v>A</v>
          </cell>
          <cell r="L66">
            <v>90264</v>
          </cell>
          <cell r="M66">
            <v>6.9999999999999999E-4</v>
          </cell>
          <cell r="N66">
            <v>0.33129999999999998</v>
          </cell>
          <cell r="O66">
            <v>9.0499999999999997E-2</v>
          </cell>
          <cell r="P66">
            <v>2.522E-4</v>
          </cell>
          <cell r="Q66">
            <v>0.53194810000000003</v>
          </cell>
          <cell r="R66">
            <v>61587</v>
          </cell>
          <cell r="S66">
            <v>1E-3</v>
          </cell>
          <cell r="T66">
            <v>0.33090000000000003</v>
          </cell>
          <cell r="U66">
            <v>9.11E-2</v>
          </cell>
          <cell r="V66">
            <v>2.8039999999999999E-4</v>
          </cell>
          <cell r="W66">
            <v>0.56493499999999996</v>
          </cell>
        </row>
        <row r="67">
          <cell r="C67" t="str">
            <v>rs116843064</v>
          </cell>
          <cell r="D67">
            <v>19</v>
          </cell>
          <cell r="E67">
            <v>8429323</v>
          </cell>
          <cell r="F67" t="str">
            <v>ANGPTL4</v>
          </cell>
          <cell r="G67" t="str">
            <v>E40K</v>
          </cell>
          <cell r="I67" t="str">
            <v>G</v>
          </cell>
          <cell r="J67" t="str">
            <v>A</v>
          </cell>
          <cell r="L67">
            <v>203098</v>
          </cell>
          <cell r="M67">
            <v>0.98050000000000004</v>
          </cell>
          <cell r="N67">
            <v>-1.6799999999999999E-2</v>
          </cell>
          <cell r="O67">
            <v>1.1299999999999999E-2</v>
          </cell>
          <cell r="P67">
            <v>0.13780000000000001</v>
          </cell>
          <cell r="Q67">
            <v>1.3199999999999999E-7</v>
          </cell>
          <cell r="R67">
            <v>187536</v>
          </cell>
          <cell r="S67">
            <v>0.97909999999999997</v>
          </cell>
          <cell r="T67">
            <v>-1.6400000000000001E-2</v>
          </cell>
          <cell r="U67">
            <v>1.14E-2</v>
          </cell>
          <cell r="V67">
            <v>0.15129999999999999</v>
          </cell>
          <cell r="W67">
            <v>1.1000000000000001E-7</v>
          </cell>
        </row>
        <row r="68">
          <cell r="C68" t="str">
            <v>rs11554159</v>
          </cell>
          <cell r="D68">
            <v>19</v>
          </cell>
          <cell r="E68">
            <v>18285944</v>
          </cell>
          <cell r="F68" t="str">
            <v>IFI30</v>
          </cell>
          <cell r="G68" t="str">
            <v>R76Q</v>
          </cell>
          <cell r="H68" t="str">
            <v>rs12608504</v>
          </cell>
          <cell r="I68" t="str">
            <v>A</v>
          </cell>
          <cell r="J68" t="str">
            <v>G</v>
          </cell>
          <cell r="L68">
            <v>226673</v>
          </cell>
          <cell r="M68">
            <v>0.25459999999999999</v>
          </cell>
          <cell r="N68">
            <v>8.0000000000000002E-3</v>
          </cell>
          <cell r="O68">
            <v>3.3999999999999998E-3</v>
          </cell>
          <cell r="P68">
            <v>1.8599999999999998E-2</v>
          </cell>
          <cell r="Q68">
            <v>3.1164999999999999E-3</v>
          </cell>
          <cell r="R68">
            <v>193411</v>
          </cell>
          <cell r="S68">
            <v>0.26540000000000002</v>
          </cell>
          <cell r="T68">
            <v>7.4000000000000003E-3</v>
          </cell>
          <cell r="U68">
            <v>3.5999999999999999E-3</v>
          </cell>
          <cell r="V68">
            <v>4.1669999999999999E-2</v>
          </cell>
          <cell r="W68">
            <v>1.3169E-3</v>
          </cell>
        </row>
        <row r="69">
          <cell r="C69" t="str">
            <v>rs874628</v>
          </cell>
          <cell r="D69">
            <v>19</v>
          </cell>
          <cell r="E69">
            <v>18304700</v>
          </cell>
          <cell r="F69" t="str">
            <v>MPV17L2</v>
          </cell>
          <cell r="G69" t="str">
            <v>M72V</v>
          </cell>
          <cell r="I69" t="str">
            <v>G</v>
          </cell>
          <cell r="J69" t="str">
            <v>A</v>
          </cell>
          <cell r="L69">
            <v>226677</v>
          </cell>
          <cell r="M69">
            <v>0.2681</v>
          </cell>
          <cell r="N69">
            <v>8.0999999999999996E-3</v>
          </cell>
          <cell r="O69">
            <v>3.3E-3</v>
          </cell>
          <cell r="P69">
            <v>1.6029999999999999E-2</v>
          </cell>
          <cell r="Q69">
            <v>2.4946999999999999E-3</v>
          </cell>
          <cell r="R69">
            <v>193415</v>
          </cell>
          <cell r="S69">
            <v>0.28129999999999999</v>
          </cell>
          <cell r="T69">
            <v>7.6E-3</v>
          </cell>
          <cell r="U69">
            <v>3.5999999999999999E-3</v>
          </cell>
          <cell r="V69">
            <v>3.209E-2</v>
          </cell>
          <cell r="W69">
            <v>1.8418E-3</v>
          </cell>
        </row>
        <row r="70">
          <cell r="C70" t="str">
            <v>rs2287922</v>
          </cell>
          <cell r="D70">
            <v>19</v>
          </cell>
          <cell r="E70">
            <v>49232226</v>
          </cell>
          <cell r="F70" t="str">
            <v>RASIP1</v>
          </cell>
          <cell r="G70" t="str">
            <v>R601C</v>
          </cell>
          <cell r="I70" t="str">
            <v>A</v>
          </cell>
          <cell r="J70" t="str">
            <v>G</v>
          </cell>
          <cell r="L70">
            <v>194971</v>
          </cell>
          <cell r="M70">
            <v>0.4894</v>
          </cell>
          <cell r="N70">
            <v>9.1999999999999998E-3</v>
          </cell>
          <cell r="O70">
            <v>3.2000000000000002E-3</v>
          </cell>
          <cell r="P70">
            <v>4.4619999999999998E-3</v>
          </cell>
          <cell r="Q70">
            <v>3.7383899999999998E-2</v>
          </cell>
          <cell r="R70">
            <v>181135</v>
          </cell>
          <cell r="S70">
            <v>0.50929999999999997</v>
          </cell>
          <cell r="T70">
            <v>7.7999999999999996E-3</v>
          </cell>
          <cell r="U70">
            <v>3.3E-3</v>
          </cell>
          <cell r="V70">
            <v>1.8790000000000001E-2</v>
          </cell>
          <cell r="W70">
            <v>1.7865800000000001E-2</v>
          </cell>
        </row>
        <row r="71">
          <cell r="C71" t="str">
            <v>rs2307019</v>
          </cell>
          <cell r="D71">
            <v>19</v>
          </cell>
          <cell r="E71">
            <v>49244220</v>
          </cell>
          <cell r="F71" t="str">
            <v>IZUMO1</v>
          </cell>
          <cell r="G71" t="str">
            <v>A333V</v>
          </cell>
          <cell r="I71" t="str">
            <v>G</v>
          </cell>
          <cell r="J71" t="str">
            <v>A</v>
          </cell>
          <cell r="L71">
            <v>226573</v>
          </cell>
          <cell r="M71">
            <v>0.55549999999999999</v>
          </cell>
          <cell r="N71">
            <v>7.3000000000000001E-3</v>
          </cell>
          <cell r="O71">
            <v>3.0000000000000001E-3</v>
          </cell>
          <cell r="P71">
            <v>1.4760000000000001E-2</v>
          </cell>
          <cell r="Q71">
            <v>3.8723899999999999E-2</v>
          </cell>
          <cell r="R71">
            <v>193311</v>
          </cell>
          <cell r="S71">
            <v>0.56299999999999994</v>
          </cell>
          <cell r="T71">
            <v>7.7999999999999996E-3</v>
          </cell>
          <cell r="U71">
            <v>3.2000000000000002E-3</v>
          </cell>
          <cell r="V71">
            <v>1.499E-2</v>
          </cell>
          <cell r="W71">
            <v>3.5363400000000003E-2</v>
          </cell>
        </row>
        <row r="72">
          <cell r="C72" t="str">
            <v>rs4911494</v>
          </cell>
          <cell r="D72">
            <v>20</v>
          </cell>
          <cell r="E72">
            <v>33971914</v>
          </cell>
          <cell r="F72" t="str">
            <v>UQCC1</v>
          </cell>
          <cell r="G72" t="str">
            <v>R51Q</v>
          </cell>
          <cell r="H72" t="str">
            <v>rs224333</v>
          </cell>
          <cell r="I72" t="str">
            <v>T</v>
          </cell>
          <cell r="J72" t="str">
            <v>C</v>
          </cell>
          <cell r="L72">
            <v>226655</v>
          </cell>
          <cell r="M72">
            <v>0.5948</v>
          </cell>
          <cell r="N72">
            <v>2.5000000000000001E-2</v>
          </cell>
          <cell r="O72">
            <v>3.0999999999999999E-3</v>
          </cell>
          <cell r="P72">
            <v>3.1700000000000002E-16</v>
          </cell>
          <cell r="Q72">
            <v>1.5372000000000001E-3</v>
          </cell>
          <cell r="R72">
            <v>193393</v>
          </cell>
          <cell r="S72">
            <v>0.61639999999999995</v>
          </cell>
          <cell r="T72">
            <v>2.53E-2</v>
          </cell>
          <cell r="U72">
            <v>3.3E-3</v>
          </cell>
          <cell r="V72">
            <v>2.64E-14</v>
          </cell>
          <cell r="W72">
            <v>9.0370000000000001E-4</v>
          </cell>
        </row>
        <row r="73">
          <cell r="C73" t="str">
            <v>rs224331</v>
          </cell>
          <cell r="D73">
            <v>20</v>
          </cell>
          <cell r="E73">
            <v>34022387</v>
          </cell>
          <cell r="F73" t="str">
            <v>GDF5</v>
          </cell>
          <cell r="G73" t="str">
            <v>S276A</v>
          </cell>
          <cell r="I73" t="str">
            <v>A</v>
          </cell>
          <cell r="J73" t="str">
            <v>C</v>
          </cell>
          <cell r="L73">
            <v>167536</v>
          </cell>
          <cell r="M73">
            <v>0.64059999999999995</v>
          </cell>
          <cell r="N73">
            <v>2.47E-2</v>
          </cell>
          <cell r="O73">
            <v>3.5999999999999999E-3</v>
          </cell>
          <cell r="P73">
            <v>5.6199999999999999E-12</v>
          </cell>
          <cell r="Q73">
            <v>3.1757999999999999E-3</v>
          </cell>
          <cell r="R73">
            <v>153595</v>
          </cell>
          <cell r="S73">
            <v>0.64480000000000004</v>
          </cell>
          <cell r="T73">
            <v>2.4E-2</v>
          </cell>
          <cell r="U73">
            <v>3.8E-3</v>
          </cell>
          <cell r="V73">
            <v>1.5999999999999999E-10</v>
          </cell>
          <cell r="W73">
            <v>1.19525E-2</v>
          </cell>
        </row>
        <row r="74">
          <cell r="C74" t="str">
            <v>rs144098855</v>
          </cell>
          <cell r="D74">
            <v>20</v>
          </cell>
          <cell r="E74">
            <v>42965811</v>
          </cell>
          <cell r="F74" t="str">
            <v>R3HDML</v>
          </cell>
          <cell r="G74" t="str">
            <v>P5L</v>
          </cell>
          <cell r="I74" t="str">
            <v>T</v>
          </cell>
          <cell r="J74" t="str">
            <v>C</v>
          </cell>
          <cell r="L74">
            <v>201752</v>
          </cell>
          <cell r="M74">
            <v>2E-3</v>
          </cell>
          <cell r="N74">
            <v>0.1709</v>
          </cell>
          <cell r="O74">
            <v>4.0300000000000002E-2</v>
          </cell>
          <cell r="P74">
            <v>2.1699999999999999E-5</v>
          </cell>
          <cell r="Q74">
            <v>0.99760769999999999</v>
          </cell>
          <cell r="R74">
            <v>171455</v>
          </cell>
          <cell r="S74">
            <v>2.5999999999999999E-3</v>
          </cell>
          <cell r="T74">
            <v>0.17119999999999999</v>
          </cell>
          <cell r="U74">
            <v>4.0300000000000002E-2</v>
          </cell>
          <cell r="V74">
            <v>2.1399999999999998E-5</v>
          </cell>
          <cell r="W74">
            <v>0.96775169999999999</v>
          </cell>
        </row>
      </sheetData>
      <sheetData sheetId="8"/>
      <sheetData sheetId="9">
        <row r="2">
          <cell r="C2" t="str">
            <v xml:space="preserve"> </v>
          </cell>
        </row>
        <row r="4">
          <cell r="B4" t="str">
            <v>rsID</v>
          </cell>
          <cell r="C4" t="str">
            <v>Chr</v>
          </cell>
          <cell r="D4" t="str">
            <v>Position (GRCh37)b</v>
          </cell>
          <cell r="E4" t="str">
            <v>Effect/ Other Alleles</v>
          </cell>
        </row>
        <row r="7">
          <cell r="B7" t="str">
            <v>rs61730011</v>
          </cell>
          <cell r="C7">
            <v>1</v>
          </cell>
          <cell r="D7">
            <v>119427467</v>
          </cell>
          <cell r="E7" t="str">
            <v>C/A</v>
          </cell>
        </row>
        <row r="8">
          <cell r="B8" t="str">
            <v>rs7607980</v>
          </cell>
          <cell r="C8">
            <v>2</v>
          </cell>
          <cell r="D8">
            <v>165551201</v>
          </cell>
          <cell r="E8" t="str">
            <v>C/T</v>
          </cell>
        </row>
        <row r="9">
          <cell r="B9" t="str">
            <v>rs1034405</v>
          </cell>
          <cell r="C9">
            <v>3</v>
          </cell>
          <cell r="D9">
            <v>50597092</v>
          </cell>
          <cell r="E9" t="str">
            <v>A/G</v>
          </cell>
        </row>
        <row r="10">
          <cell r="B10" t="str">
            <v>rs13303</v>
          </cell>
          <cell r="C10">
            <v>3</v>
          </cell>
          <cell r="D10">
            <v>52558008</v>
          </cell>
          <cell r="E10" t="str">
            <v>C/T</v>
          </cell>
        </row>
        <row r="11">
          <cell r="B11" t="str">
            <v>rs3617</v>
          </cell>
          <cell r="C11">
            <v>3</v>
          </cell>
          <cell r="D11">
            <v>52833805</v>
          </cell>
          <cell r="E11" t="str">
            <v>A/C</v>
          </cell>
        </row>
        <row r="12">
          <cell r="B12" t="str">
            <v>rs62266958</v>
          </cell>
          <cell r="C12">
            <v>3</v>
          </cell>
          <cell r="D12">
            <v>129137188</v>
          </cell>
          <cell r="E12" t="str">
            <v>T/C</v>
          </cell>
        </row>
        <row r="13">
          <cell r="B13" t="str">
            <v>rs1804080</v>
          </cell>
          <cell r="C13">
            <v>4</v>
          </cell>
          <cell r="D13">
            <v>89625427</v>
          </cell>
          <cell r="E13" t="str">
            <v>C/G</v>
          </cell>
        </row>
        <row r="14">
          <cell r="B14" t="str">
            <v>rs1966265</v>
          </cell>
          <cell r="C14">
            <v>5</v>
          </cell>
          <cell r="D14">
            <v>176516631</v>
          </cell>
          <cell r="E14" t="str">
            <v>G/A</v>
          </cell>
        </row>
        <row r="15">
          <cell r="B15" t="str">
            <v>rs146860658</v>
          </cell>
          <cell r="C15">
            <v>6</v>
          </cell>
          <cell r="D15">
            <v>26108117</v>
          </cell>
          <cell r="E15" t="str">
            <v>C/T</v>
          </cell>
        </row>
        <row r="16">
          <cell r="B16" t="str">
            <v>rs1892172</v>
          </cell>
          <cell r="C16">
            <v>6</v>
          </cell>
          <cell r="D16">
            <v>127476516</v>
          </cell>
          <cell r="E16" t="str">
            <v>G/A</v>
          </cell>
        </row>
        <row r="17">
          <cell r="B17" t="str">
            <v>rs139745911</v>
          </cell>
          <cell r="C17">
            <v>6</v>
          </cell>
          <cell r="D17">
            <v>127767954</v>
          </cell>
          <cell r="E17" t="str">
            <v>G/A</v>
          </cell>
        </row>
        <row r="18">
          <cell r="B18" t="str">
            <v>rs1334576</v>
          </cell>
          <cell r="C18">
            <v>6</v>
          </cell>
          <cell r="D18">
            <v>7211818</v>
          </cell>
          <cell r="E18" t="str">
            <v>A/G</v>
          </cell>
        </row>
        <row r="19">
          <cell r="B19" t="str">
            <v>rs35332062</v>
          </cell>
          <cell r="C19">
            <v>7</v>
          </cell>
          <cell r="D19">
            <v>73012042</v>
          </cell>
          <cell r="E19" t="str">
            <v>A/G</v>
          </cell>
        </row>
        <row r="20">
          <cell r="B20" t="str">
            <v>rs3812316</v>
          </cell>
          <cell r="C20">
            <v>7</v>
          </cell>
          <cell r="D20">
            <v>73020337</v>
          </cell>
          <cell r="E20" t="str">
            <v>G/C</v>
          </cell>
        </row>
        <row r="21">
          <cell r="B21" t="str">
            <v>rs17417407</v>
          </cell>
          <cell r="C21">
            <v>10</v>
          </cell>
          <cell r="D21">
            <v>95931087</v>
          </cell>
          <cell r="E21" t="str">
            <v>G/T</v>
          </cell>
        </row>
        <row r="22">
          <cell r="B22" t="str">
            <v>rs138315382</v>
          </cell>
          <cell r="C22">
            <v>10</v>
          </cell>
          <cell r="D22">
            <v>123279643</v>
          </cell>
          <cell r="E22" t="str">
            <v>C/T</v>
          </cell>
        </row>
        <row r="23">
          <cell r="B23" t="str">
            <v>rs35169799</v>
          </cell>
          <cell r="C23">
            <v>11</v>
          </cell>
          <cell r="D23">
            <v>64031241</v>
          </cell>
          <cell r="E23" t="str">
            <v>C/T</v>
          </cell>
        </row>
        <row r="24">
          <cell r="B24" t="str">
            <v>rs145878042</v>
          </cell>
          <cell r="C24">
            <v>12</v>
          </cell>
          <cell r="D24">
            <v>48143315</v>
          </cell>
          <cell r="E24" t="str">
            <v>G/A</v>
          </cell>
        </row>
        <row r="25">
          <cell r="B25" t="str">
            <v>rs11057353</v>
          </cell>
          <cell r="C25">
            <v>12</v>
          </cell>
          <cell r="D25">
            <v>124265687</v>
          </cell>
          <cell r="E25" t="str">
            <v>C/T</v>
          </cell>
        </row>
        <row r="26">
          <cell r="B26" t="str">
            <v>rs34934281</v>
          </cell>
          <cell r="C26">
            <v>12</v>
          </cell>
          <cell r="D26">
            <v>124330311</v>
          </cell>
          <cell r="E26" t="str">
            <v>T/C</v>
          </cell>
        </row>
        <row r="27">
          <cell r="B27" t="str">
            <v>rs11057401</v>
          </cell>
          <cell r="C27">
            <v>12</v>
          </cell>
          <cell r="D27">
            <v>124427306</v>
          </cell>
          <cell r="E27" t="str">
            <v>A/T</v>
          </cell>
        </row>
        <row r="28">
          <cell r="B28" t="str">
            <v>rs17677991</v>
          </cell>
          <cell r="C28">
            <v>15</v>
          </cell>
          <cell r="D28">
            <v>42032383</v>
          </cell>
          <cell r="E28" t="str">
            <v>C/G</v>
          </cell>
        </row>
        <row r="29">
          <cell r="B29" t="str">
            <v>rs3810818</v>
          </cell>
          <cell r="C29">
            <v>16</v>
          </cell>
          <cell r="D29">
            <v>4432029</v>
          </cell>
          <cell r="E29" t="str">
            <v>C/A</v>
          </cell>
        </row>
        <row r="30">
          <cell r="B30" t="str">
            <v>rs3747579</v>
          </cell>
          <cell r="C30">
            <v>16</v>
          </cell>
          <cell r="D30">
            <v>4445327</v>
          </cell>
          <cell r="E30" t="str">
            <v>T/C</v>
          </cell>
        </row>
        <row r="31">
          <cell r="B31" t="str">
            <v>rs9922085</v>
          </cell>
          <cell r="C31">
            <v>16</v>
          </cell>
          <cell r="D31">
            <v>67397580</v>
          </cell>
          <cell r="E31" t="str">
            <v>C/G</v>
          </cell>
        </row>
        <row r="32">
          <cell r="B32" t="str">
            <v>rs8052655</v>
          </cell>
          <cell r="C32">
            <v>16</v>
          </cell>
          <cell r="D32">
            <v>67409180</v>
          </cell>
          <cell r="E32" t="str">
            <v>A/G</v>
          </cell>
        </row>
        <row r="33">
          <cell r="B33" t="str">
            <v>rs874628</v>
          </cell>
          <cell r="C33">
            <v>19</v>
          </cell>
          <cell r="D33">
            <v>18304700</v>
          </cell>
          <cell r="E33" t="str">
            <v>A/G</v>
          </cell>
        </row>
        <row r="34">
          <cell r="B34" t="str">
            <v>rs2287922</v>
          </cell>
          <cell r="C34">
            <v>19</v>
          </cell>
          <cell r="D34">
            <v>49232226</v>
          </cell>
          <cell r="E34" t="str">
            <v>G/A</v>
          </cell>
        </row>
        <row r="35">
          <cell r="B35" t="str">
            <v>rs4911494</v>
          </cell>
          <cell r="C35">
            <v>20</v>
          </cell>
          <cell r="D35">
            <v>33971914</v>
          </cell>
          <cell r="E35" t="str">
            <v>C/T</v>
          </cell>
        </row>
        <row r="36">
          <cell r="B36" t="str">
            <v>rs224331</v>
          </cell>
          <cell r="C36">
            <v>20</v>
          </cell>
          <cell r="D36">
            <v>34022387</v>
          </cell>
          <cell r="E36" t="str">
            <v>C/A</v>
          </cell>
        </row>
        <row r="38">
          <cell r="B38" t="str">
            <v>rs141845046</v>
          </cell>
          <cell r="C38">
            <v>1</v>
          </cell>
          <cell r="D38">
            <v>154987704</v>
          </cell>
          <cell r="E38" t="str">
            <v>T/C</v>
          </cell>
        </row>
        <row r="39">
          <cell r="B39" t="str">
            <v>rs55920843</v>
          </cell>
          <cell r="C39">
            <v>2</v>
          </cell>
          <cell r="D39">
            <v>158412701</v>
          </cell>
          <cell r="E39" t="str">
            <v>G/T</v>
          </cell>
        </row>
        <row r="40">
          <cell r="B40" t="str">
            <v>rs7607980</v>
          </cell>
          <cell r="C40">
            <v>2</v>
          </cell>
          <cell r="D40">
            <v>165551201</v>
          </cell>
          <cell r="E40" t="str">
            <v>C/T</v>
          </cell>
        </row>
        <row r="41">
          <cell r="B41" t="str">
            <v>rs13303</v>
          </cell>
          <cell r="C41">
            <v>3</v>
          </cell>
          <cell r="D41">
            <v>52558008</v>
          </cell>
          <cell r="E41" t="str">
            <v>C/T</v>
          </cell>
        </row>
        <row r="42">
          <cell r="B42" t="str">
            <v>rs62266958</v>
          </cell>
          <cell r="C42">
            <v>3</v>
          </cell>
          <cell r="D42">
            <v>129137188</v>
          </cell>
          <cell r="E42" t="str">
            <v>T/C</v>
          </cell>
        </row>
        <row r="43">
          <cell r="B43" t="str">
            <v>rs2625973</v>
          </cell>
          <cell r="C43">
            <v>3</v>
          </cell>
          <cell r="D43">
            <v>129284818</v>
          </cell>
          <cell r="E43" t="str">
            <v>C/A</v>
          </cell>
        </row>
        <row r="44">
          <cell r="B44" t="str">
            <v>rs1804080</v>
          </cell>
          <cell r="C44">
            <v>4</v>
          </cell>
          <cell r="D44">
            <v>89625427</v>
          </cell>
          <cell r="E44" t="str">
            <v>C/G</v>
          </cell>
        </row>
        <row r="45">
          <cell r="B45" t="str">
            <v>rs7657817</v>
          </cell>
          <cell r="C45">
            <v>4</v>
          </cell>
          <cell r="D45">
            <v>89668859</v>
          </cell>
          <cell r="E45" t="str">
            <v>T/C</v>
          </cell>
        </row>
        <row r="46">
          <cell r="B46" t="str">
            <v>rs1892172</v>
          </cell>
          <cell r="C46">
            <v>6</v>
          </cell>
          <cell r="D46">
            <v>127476516</v>
          </cell>
          <cell r="E46" t="str">
            <v>G/A</v>
          </cell>
        </row>
        <row r="47">
          <cell r="B47" t="str">
            <v>rs139745911</v>
          </cell>
          <cell r="C47">
            <v>6</v>
          </cell>
          <cell r="D47">
            <v>127767954</v>
          </cell>
          <cell r="E47" t="str">
            <v>G/A</v>
          </cell>
        </row>
        <row r="48">
          <cell r="B48" t="str">
            <v>rs35169799</v>
          </cell>
          <cell r="C48">
            <v>11</v>
          </cell>
          <cell r="D48">
            <v>64031241</v>
          </cell>
          <cell r="E48" t="str">
            <v>C/T</v>
          </cell>
        </row>
        <row r="49">
          <cell r="B49" t="str">
            <v>rs145878042</v>
          </cell>
          <cell r="C49">
            <v>12</v>
          </cell>
          <cell r="D49">
            <v>48143315</v>
          </cell>
          <cell r="E49" t="str">
            <v>G/A</v>
          </cell>
        </row>
        <row r="50">
          <cell r="B50" t="str">
            <v>rs11057353</v>
          </cell>
          <cell r="C50">
            <v>12</v>
          </cell>
          <cell r="D50">
            <v>124265687</v>
          </cell>
          <cell r="E50" t="str">
            <v>C/T</v>
          </cell>
        </row>
        <row r="51">
          <cell r="B51" t="str">
            <v>rs34934281</v>
          </cell>
          <cell r="C51">
            <v>12</v>
          </cell>
          <cell r="D51">
            <v>124330311</v>
          </cell>
          <cell r="E51" t="str">
            <v>T/C</v>
          </cell>
        </row>
        <row r="52">
          <cell r="B52" t="str">
            <v>rs11057401</v>
          </cell>
          <cell r="C52">
            <v>12</v>
          </cell>
          <cell r="D52">
            <v>124427306</v>
          </cell>
          <cell r="E52" t="str">
            <v>A/T</v>
          </cell>
        </row>
        <row r="53">
          <cell r="B53" t="str">
            <v>rs3810818</v>
          </cell>
          <cell r="C53">
            <v>16</v>
          </cell>
          <cell r="D53">
            <v>4432029</v>
          </cell>
          <cell r="E53" t="str">
            <v>C/A</v>
          </cell>
        </row>
        <row r="54">
          <cell r="B54" t="str">
            <v>rs3747579</v>
          </cell>
          <cell r="C54">
            <v>16</v>
          </cell>
          <cell r="D54">
            <v>4445327</v>
          </cell>
          <cell r="E54" t="str">
            <v>T/C</v>
          </cell>
        </row>
        <row r="55">
          <cell r="B55" t="str">
            <v>rs11554159</v>
          </cell>
          <cell r="C55">
            <v>19</v>
          </cell>
          <cell r="D55">
            <v>18285944</v>
          </cell>
          <cell r="E55" t="str">
            <v>G/A</v>
          </cell>
        </row>
        <row r="56">
          <cell r="B56" t="str">
            <v>rs874628</v>
          </cell>
          <cell r="C56">
            <v>19</v>
          </cell>
          <cell r="D56">
            <v>18304700</v>
          </cell>
          <cell r="E56" t="str">
            <v>A/G</v>
          </cell>
        </row>
        <row r="57">
          <cell r="B57" t="str">
            <v>rs2287922</v>
          </cell>
          <cell r="C57">
            <v>19</v>
          </cell>
          <cell r="D57">
            <v>49232226</v>
          </cell>
          <cell r="E57" t="str">
            <v>G/A</v>
          </cell>
        </row>
        <row r="59">
          <cell r="B59" t="str">
            <v>rs1966265</v>
          </cell>
          <cell r="C59">
            <v>5</v>
          </cell>
          <cell r="D59">
            <v>176516631</v>
          </cell>
          <cell r="E59" t="str">
            <v>G/A</v>
          </cell>
        </row>
        <row r="60">
          <cell r="B60" t="str">
            <v>rs1334576</v>
          </cell>
          <cell r="C60">
            <v>6</v>
          </cell>
          <cell r="D60">
            <v>7211818</v>
          </cell>
          <cell r="E60" t="str">
            <v>A/G</v>
          </cell>
        </row>
        <row r="61">
          <cell r="B61" t="str">
            <v>rs148108950</v>
          </cell>
          <cell r="C61">
            <v>13</v>
          </cell>
          <cell r="D61">
            <v>96665697</v>
          </cell>
          <cell r="E61" t="str">
            <v>G/A</v>
          </cell>
        </row>
        <row r="62">
          <cell r="B62" t="str">
            <v>rs1042704</v>
          </cell>
          <cell r="C62">
            <v>14</v>
          </cell>
          <cell r="D62">
            <v>23312594</v>
          </cell>
          <cell r="E62" t="str">
            <v>G/A</v>
          </cell>
        </row>
        <row r="63">
          <cell r="B63" t="str">
            <v>rs4911494</v>
          </cell>
          <cell r="C63">
            <v>20</v>
          </cell>
          <cell r="D63">
            <v>33971914</v>
          </cell>
          <cell r="E63" t="str">
            <v>C/T</v>
          </cell>
        </row>
        <row r="64">
          <cell r="B64" t="str">
            <v>rs224331</v>
          </cell>
          <cell r="C64">
            <v>20</v>
          </cell>
          <cell r="D64">
            <v>34022387</v>
          </cell>
          <cell r="E64" t="str">
            <v>C/A</v>
          </cell>
        </row>
        <row r="66">
          <cell r="B66" t="str">
            <v>rs35515638</v>
          </cell>
          <cell r="C66">
            <v>1</v>
          </cell>
          <cell r="D66">
            <v>173802608</v>
          </cell>
          <cell r="E66" t="str">
            <v>A/G</v>
          </cell>
        </row>
        <row r="67">
          <cell r="B67" t="str">
            <v>rs62266958</v>
          </cell>
          <cell r="C67">
            <v>3</v>
          </cell>
          <cell r="D67">
            <v>129137188</v>
          </cell>
          <cell r="E67" t="str">
            <v>T/C</v>
          </cell>
        </row>
        <row r="68">
          <cell r="E68" t="str">
            <v xml:space="preserve"> </v>
          </cell>
        </row>
        <row r="69">
          <cell r="B69" t="str">
            <v>rs4911494</v>
          </cell>
          <cell r="C69">
            <v>20</v>
          </cell>
          <cell r="D69">
            <v>33971914</v>
          </cell>
          <cell r="E69" t="str">
            <v>C/T</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Table 1"/>
      <sheetName val="Table 2"/>
      <sheetName val="Table3.Gene-based_Analyses"/>
      <sheetName val="ST 1. Study Designs"/>
      <sheetName val="ST 2. Genotyping and QC"/>
      <sheetName val="ST 3. Study Descriptives"/>
      <sheetName val="ST 4. Suggestive SNVs-CombSexes"/>
      <sheetName val="ST 5.Suggestive SNVs-Men"/>
      <sheetName val="ST 6. Suggestive SNVs-Women"/>
      <sheetName val="ST7. ConditnlDiscovry-Multi_v2"/>
      <sheetName val="ST7. ConditnlDiscovry-MultiSigs"/>
      <sheetName val="EurConditional-working"/>
      <sheetName val="ST8(A)-GWASconditional analysis"/>
      <sheetName val="ST8(B)-CondAnalyses-GWAS-ukbb"/>
      <sheetName val="ST 9. Gene-based Results"/>
      <sheetName val="ST 10. Monogenic gene lists"/>
      <sheetName val="ST 11. DEPICT All SNVs"/>
      <sheetName val="ST 12. DEPICT Novel SNVs"/>
      <sheetName val="ST 13. PASCAL"/>
      <sheetName val="ST 14. Cross Trait Lookups"/>
      <sheetName val="ST 15. GWASCatalog"/>
      <sheetName val="Sheet2"/>
      <sheetName val="ST 16. UKBB Penetrance Analysis"/>
      <sheetName val=""/>
      <sheetName val="ForRefOnlyFly Knockdown Screen"/>
      <sheetName val="ST 18. GTEx eQTL_upd"/>
      <sheetName val="ST19.eQTLLookups for Table 1"/>
      <sheetName val="ST20.eQTLLookups for Table 2"/>
      <sheetName val="ST 19. Locus Lookups"/>
      <sheetName val="ST 20. Collider_bias_All_comb"/>
      <sheetName val="ST 21. Collider_Bias_All_women"/>
      <sheetName val="ST 22. Collider_Bias_All_men"/>
      <sheetName val="ST 23. Inflation_Factor"/>
      <sheetName val="ST24.VarianceExplainedNew"/>
      <sheetName val="ST24.VarianceExplained"/>
      <sheetName val="XXXXX VEP annotation"/>
      <sheetName val="ST25. PheWAS summary"/>
      <sheetName val="ST26.Acknowledgements"/>
    </sheetNames>
    <sheetDataSet>
      <sheetData sheetId="0"/>
      <sheetData sheetId="1"/>
      <sheetData sheetId="2"/>
      <sheetData sheetId="3"/>
      <sheetData sheetId="4"/>
      <sheetData sheetId="5"/>
      <sheetData sheetId="6"/>
      <sheetData sheetId="7"/>
      <sheetData sheetId="8">
        <row r="4">
          <cell r="B4" t="str">
            <v>rsID</v>
          </cell>
          <cell r="C4" t="str">
            <v>Chr</v>
          </cell>
          <cell r="D4" t="str">
            <v>Position (GRCh37)b</v>
          </cell>
          <cell r="E4" t="str">
            <v>Genec</v>
          </cell>
          <cell r="F4" t="str">
            <v>Amino Acid changec</v>
          </cell>
          <cell r="G4" t="str">
            <v>Known locusd</v>
          </cell>
          <cell r="H4" t="str">
            <v>Effect (WHRadjBMI increasing) Allele</v>
          </cell>
          <cell r="I4" t="str">
            <v>Other Allele</v>
          </cell>
          <cell r="K4" t="str">
            <v>N</v>
          </cell>
          <cell r="L4" t="str">
            <v>Effect Allele Frequency</v>
          </cell>
          <cell r="M4" t="str">
            <v>Effect sizee (SD/allele)</v>
          </cell>
          <cell r="N4" t="str">
            <v>SE</v>
          </cell>
          <cell r="O4" t="str">
            <v>P-value</v>
          </cell>
          <cell r="P4" t="str">
            <v>Pvalue for Sex-heterogeneityf</v>
          </cell>
          <cell r="Q4" t="str">
            <v>N</v>
          </cell>
          <cell r="R4" t="str">
            <v>Effect Allele Frequency</v>
          </cell>
          <cell r="S4" t="str">
            <v>Effect sizee (SD/allele)</v>
          </cell>
          <cell r="T4" t="str">
            <v>SE</v>
          </cell>
          <cell r="U4" t="str">
            <v>P-value</v>
          </cell>
          <cell r="V4" t="str">
            <v>Pvalue for Sex-heterogeneityf</v>
          </cell>
        </row>
        <row r="5">
          <cell r="B5" t="str">
            <v>rs7537203</v>
          </cell>
          <cell r="C5">
            <v>1</v>
          </cell>
          <cell r="D5">
            <v>36225948</v>
          </cell>
          <cell r="E5" t="str">
            <v>CLSPN</v>
          </cell>
          <cell r="F5" t="str">
            <v>N525S</v>
          </cell>
          <cell r="H5" t="str">
            <v>C</v>
          </cell>
          <cell r="I5" t="str">
            <v>T</v>
          </cell>
          <cell r="K5">
            <v>188983</v>
          </cell>
          <cell r="L5">
            <v>0.15440000000000001</v>
          </cell>
          <cell r="M5">
            <v>1.7600000000000001E-2</v>
          </cell>
          <cell r="N5">
            <v>4.5999999999999999E-3</v>
          </cell>
          <cell r="O5">
            <v>1.306E-4</v>
          </cell>
          <cell r="P5">
            <v>0.87311209999999995</v>
          </cell>
          <cell r="Q5">
            <v>160211</v>
          </cell>
          <cell r="R5">
            <v>0.1283</v>
          </cell>
          <cell r="S5">
            <v>1.6299999999999999E-2</v>
          </cell>
          <cell r="T5">
            <v>5.3E-3</v>
          </cell>
          <cell r="U5">
            <v>1.9E-3</v>
          </cell>
          <cell r="V5">
            <v>0.83430820000000006</v>
          </cell>
        </row>
        <row r="6">
          <cell r="B6" t="str">
            <v>rs61730011</v>
          </cell>
          <cell r="C6">
            <v>1</v>
          </cell>
          <cell r="D6">
            <v>119427467</v>
          </cell>
          <cell r="E6" t="str">
            <v>TBX15</v>
          </cell>
          <cell r="F6" t="str">
            <v>M566R</v>
          </cell>
          <cell r="G6" t="str">
            <v>yes</v>
          </cell>
          <cell r="H6" t="str">
            <v>A</v>
          </cell>
          <cell r="I6" t="str">
            <v>C</v>
          </cell>
          <cell r="K6">
            <v>200878</v>
          </cell>
          <cell r="L6">
            <v>0.95730000000000004</v>
          </cell>
          <cell r="M6">
            <v>3.8199999999999998E-2</v>
          </cell>
          <cell r="N6">
            <v>7.7999999999999996E-3</v>
          </cell>
          <cell r="O6">
            <v>8.8700000000000004E-7</v>
          </cell>
          <cell r="P6">
            <v>0.66914249999999997</v>
          </cell>
          <cell r="Q6">
            <v>185316</v>
          </cell>
          <cell r="R6">
            <v>0.95730000000000004</v>
          </cell>
          <cell r="S6">
            <v>3.5000000000000003E-2</v>
          </cell>
          <cell r="T6">
            <v>8.0999999999999996E-3</v>
          </cell>
          <cell r="U6">
            <v>1.4399999999999999E-5</v>
          </cell>
          <cell r="V6">
            <v>0.49392930000000002</v>
          </cell>
        </row>
        <row r="7">
          <cell r="B7" t="str">
            <v>rs10494217</v>
          </cell>
          <cell r="C7">
            <v>1</v>
          </cell>
          <cell r="D7">
            <v>119469188</v>
          </cell>
          <cell r="E7" t="str">
            <v>TBX15</v>
          </cell>
          <cell r="F7" t="str">
            <v>H156N</v>
          </cell>
          <cell r="G7" t="str">
            <v>yes</v>
          </cell>
          <cell r="H7" t="str">
            <v>T</v>
          </cell>
          <cell r="I7" t="str">
            <v>G</v>
          </cell>
          <cell r="K7">
            <v>225500</v>
          </cell>
          <cell r="L7">
            <v>0.17460000000000001</v>
          </cell>
          <cell r="M7">
            <v>1.6400000000000001E-2</v>
          </cell>
          <cell r="N7">
            <v>3.8999999999999998E-3</v>
          </cell>
          <cell r="O7">
            <v>3.1000000000000001E-5</v>
          </cell>
          <cell r="P7">
            <v>0.59609250000000003</v>
          </cell>
          <cell r="Q7">
            <v>192238</v>
          </cell>
          <cell r="R7">
            <v>0.1898</v>
          </cell>
          <cell r="S7">
            <v>1.6199999999999999E-2</v>
          </cell>
          <cell r="T7">
            <v>4.1000000000000003E-3</v>
          </cell>
          <cell r="U7">
            <v>8.14E-5</v>
          </cell>
          <cell r="V7">
            <v>0.52132149999999999</v>
          </cell>
        </row>
        <row r="8">
          <cell r="B8" t="str">
            <v>rs141845046</v>
          </cell>
          <cell r="C8">
            <v>1</v>
          </cell>
          <cell r="D8">
            <v>154987704</v>
          </cell>
          <cell r="E8" t="str">
            <v>ZBTB7B</v>
          </cell>
          <cell r="F8" t="str">
            <v>P190S</v>
          </cell>
          <cell r="G8" t="str">
            <v>yes</v>
          </cell>
          <cell r="H8" t="str">
            <v>C</v>
          </cell>
          <cell r="I8" t="str">
            <v>T</v>
          </cell>
          <cell r="K8">
            <v>226709</v>
          </cell>
          <cell r="L8">
            <v>0.97509999999999997</v>
          </cell>
          <cell r="M8">
            <v>3.8E-3</v>
          </cell>
          <cell r="N8">
            <v>9.5999999999999992E-3</v>
          </cell>
          <cell r="O8">
            <v>0.68769999999999998</v>
          </cell>
          <cell r="P8">
            <v>7.9100000000000003E-7</v>
          </cell>
          <cell r="Q8">
            <v>193447</v>
          </cell>
          <cell r="R8">
            <v>0.97089999999999999</v>
          </cell>
          <cell r="S8">
            <v>3.3999999999999998E-3</v>
          </cell>
          <cell r="T8">
            <v>9.7000000000000003E-3</v>
          </cell>
          <cell r="U8">
            <v>0.72670000000000001</v>
          </cell>
          <cell r="V8">
            <v>7.6000000000000003E-7</v>
          </cell>
        </row>
        <row r="9">
          <cell r="B9" t="str">
            <v>rs35515638</v>
          </cell>
          <cell r="C9">
            <v>1</v>
          </cell>
          <cell r="D9">
            <v>173802608</v>
          </cell>
          <cell r="E9" t="str">
            <v>DARS2</v>
          </cell>
          <cell r="F9" t="str">
            <v>K196R</v>
          </cell>
          <cell r="H9" t="str">
            <v>G</v>
          </cell>
          <cell r="I9" t="str">
            <v>A</v>
          </cell>
          <cell r="K9">
            <v>187155</v>
          </cell>
          <cell r="L9">
            <v>4.5999999999999999E-3</v>
          </cell>
          <cell r="M9">
            <v>0.1014</v>
          </cell>
          <cell r="N9">
            <v>2.8500000000000001E-2</v>
          </cell>
          <cell r="O9">
            <v>3.745E-4</v>
          </cell>
          <cell r="P9">
            <v>8.6594099999999993E-2</v>
          </cell>
          <cell r="Q9">
            <v>154194</v>
          </cell>
          <cell r="R9">
            <v>1.8E-3</v>
          </cell>
          <cell r="S9">
            <v>0.25700000000000001</v>
          </cell>
          <cell r="T9">
            <v>4.9099999999999998E-2</v>
          </cell>
          <cell r="U9">
            <v>1.6299999999999999E-7</v>
          </cell>
          <cell r="V9">
            <v>6.0161800000000001E-2</v>
          </cell>
        </row>
        <row r="10">
          <cell r="B10" t="str">
            <v>rs3851294</v>
          </cell>
          <cell r="C10">
            <v>1</v>
          </cell>
          <cell r="D10">
            <v>205130413</v>
          </cell>
          <cell r="E10" t="str">
            <v>DSTYK</v>
          </cell>
          <cell r="F10" t="str">
            <v>C641R</v>
          </cell>
          <cell r="H10" t="str">
            <v>G</v>
          </cell>
          <cell r="I10" t="str">
            <v>A</v>
          </cell>
          <cell r="K10">
            <v>225803</v>
          </cell>
          <cell r="L10">
            <v>0.91439999999999999</v>
          </cell>
          <cell r="M10">
            <v>-5.1000000000000004E-3</v>
          </cell>
          <cell r="N10">
            <v>5.3E-3</v>
          </cell>
          <cell r="O10">
            <v>0.33939999999999998</v>
          </cell>
          <cell r="P10">
            <v>9.7500000000000006E-8</v>
          </cell>
          <cell r="Q10">
            <v>192541</v>
          </cell>
          <cell r="R10">
            <v>0.90749999999999997</v>
          </cell>
          <cell r="S10">
            <v>-3.8999999999999998E-3</v>
          </cell>
          <cell r="T10">
            <v>5.4999999999999997E-3</v>
          </cell>
          <cell r="U10">
            <v>0.47860000000000003</v>
          </cell>
          <cell r="V10">
            <v>3.15E-7</v>
          </cell>
        </row>
        <row r="11">
          <cell r="B11" t="str">
            <v>rs4668909</v>
          </cell>
          <cell r="C11">
            <v>2</v>
          </cell>
          <cell r="D11">
            <v>15607842</v>
          </cell>
          <cell r="E11" t="str">
            <v>NBAS</v>
          </cell>
          <cell r="F11" t="str">
            <v>K655R</v>
          </cell>
          <cell r="H11" t="str">
            <v>C</v>
          </cell>
          <cell r="I11" t="str">
            <v>T</v>
          </cell>
          <cell r="K11">
            <v>219790</v>
          </cell>
          <cell r="L11">
            <v>0.63249999999999995</v>
          </cell>
          <cell r="M11">
            <v>3.2000000000000002E-3</v>
          </cell>
          <cell r="N11">
            <v>4.4000000000000003E-3</v>
          </cell>
          <cell r="O11">
            <v>0.47639999999999999</v>
          </cell>
          <cell r="P11">
            <v>5.8040799999999997E-2</v>
          </cell>
          <cell r="Q11">
            <v>187589</v>
          </cell>
          <cell r="R11">
            <v>0.6673</v>
          </cell>
          <cell r="S11">
            <v>3.0999999999999999E-3</v>
          </cell>
          <cell r="T11">
            <v>4.7000000000000002E-3</v>
          </cell>
          <cell r="U11">
            <v>0.50490000000000002</v>
          </cell>
          <cell r="V11">
            <v>3.8759299999999997E-2</v>
          </cell>
        </row>
        <row r="12">
          <cell r="B12" t="str">
            <v>rs55920843</v>
          </cell>
          <cell r="C12">
            <v>2</v>
          </cell>
          <cell r="D12">
            <v>158412701</v>
          </cell>
          <cell r="E12" t="str">
            <v>ACVR1C</v>
          </cell>
          <cell r="F12" t="str">
            <v>N150H</v>
          </cell>
          <cell r="H12" t="str">
            <v>T</v>
          </cell>
          <cell r="I12" t="str">
            <v>G</v>
          </cell>
          <cell r="K12">
            <v>210071</v>
          </cell>
          <cell r="L12">
            <v>0.98899999999999999</v>
          </cell>
          <cell r="M12">
            <v>5.4999999999999997E-3</v>
          </cell>
          <cell r="N12">
            <v>1.52E-2</v>
          </cell>
          <cell r="O12">
            <v>0.71889999999999998</v>
          </cell>
          <cell r="P12">
            <v>1.7100000000000001E-7</v>
          </cell>
          <cell r="Q12">
            <v>193448</v>
          </cell>
          <cell r="R12">
            <v>0.98839999999999995</v>
          </cell>
          <cell r="S12">
            <v>6.4000000000000003E-3</v>
          </cell>
          <cell r="T12">
            <v>1.54E-2</v>
          </cell>
          <cell r="U12">
            <v>0.67530000000000001</v>
          </cell>
          <cell r="V12">
            <v>8.1900000000000001E-7</v>
          </cell>
        </row>
        <row r="13">
          <cell r="B13" t="str">
            <v>rs7607980</v>
          </cell>
          <cell r="C13">
            <v>2</v>
          </cell>
          <cell r="D13">
            <v>165551201</v>
          </cell>
          <cell r="E13" t="str">
            <v>COBLL1</v>
          </cell>
          <cell r="F13" t="str">
            <v>N941D</v>
          </cell>
          <cell r="G13" t="str">
            <v>yes</v>
          </cell>
          <cell r="H13" t="str">
            <v>T</v>
          </cell>
          <cell r="I13" t="str">
            <v>C</v>
          </cell>
          <cell r="K13">
            <v>173600</v>
          </cell>
          <cell r="L13">
            <v>0.87960000000000005</v>
          </cell>
          <cell r="M13">
            <v>-1.78E-2</v>
          </cell>
          <cell r="N13">
            <v>5.1999999999999998E-3</v>
          </cell>
          <cell r="O13">
            <v>5.754E-4</v>
          </cell>
          <cell r="P13">
            <v>3.010203E-30</v>
          </cell>
          <cell r="Q13">
            <v>162734</v>
          </cell>
          <cell r="R13">
            <v>0.87870000000000004</v>
          </cell>
          <cell r="S13">
            <v>-1.66E-2</v>
          </cell>
          <cell r="T13">
            <v>5.3E-3</v>
          </cell>
          <cell r="U13">
            <v>1.7880000000000001E-3</v>
          </cell>
          <cell r="V13">
            <v>1.7999999999999999E-28</v>
          </cell>
        </row>
        <row r="14">
          <cell r="B14" t="str">
            <v>rs7586970</v>
          </cell>
          <cell r="C14">
            <v>2</v>
          </cell>
          <cell r="D14">
            <v>188343497</v>
          </cell>
          <cell r="E14" t="str">
            <v>TFPI</v>
          </cell>
          <cell r="F14" t="str">
            <v>N221S</v>
          </cell>
          <cell r="G14" t="str">
            <v>yes</v>
          </cell>
          <cell r="H14" t="str">
            <v>T</v>
          </cell>
          <cell r="I14" t="str">
            <v>C</v>
          </cell>
          <cell r="K14">
            <v>214576</v>
          </cell>
          <cell r="L14">
            <v>0.69830000000000003</v>
          </cell>
          <cell r="M14">
            <v>1.55E-2</v>
          </cell>
          <cell r="N14">
            <v>3.3E-3</v>
          </cell>
          <cell r="O14">
            <v>2.92E-6</v>
          </cell>
          <cell r="P14">
            <v>0.62948689999999996</v>
          </cell>
          <cell r="Q14">
            <v>181314</v>
          </cell>
          <cell r="R14">
            <v>0.69520000000000004</v>
          </cell>
          <cell r="S14">
            <v>1.8700000000000001E-2</v>
          </cell>
          <cell r="T14">
            <v>3.5999999999999999E-3</v>
          </cell>
          <cell r="U14">
            <v>1.85E-7</v>
          </cell>
          <cell r="V14">
            <v>0.79128580000000004</v>
          </cell>
        </row>
        <row r="15">
          <cell r="B15" t="str">
            <v>rs4082155</v>
          </cell>
          <cell r="C15">
            <v>3</v>
          </cell>
          <cell r="D15">
            <v>47125385</v>
          </cell>
          <cell r="E15" t="str">
            <v>SETD2</v>
          </cell>
          <cell r="F15" t="str">
            <v>P1962L</v>
          </cell>
          <cell r="H15" t="str">
            <v>A</v>
          </cell>
          <cell r="I15" t="str">
            <v>G</v>
          </cell>
          <cell r="K15">
            <v>164238</v>
          </cell>
          <cell r="L15">
            <v>0.5615</v>
          </cell>
          <cell r="M15">
            <v>9.2999999999999992E-3</v>
          </cell>
          <cell r="N15">
            <v>3.5000000000000001E-3</v>
          </cell>
          <cell r="O15">
            <v>8.5690000000000002E-3</v>
          </cell>
          <cell r="P15">
            <v>0.18558140000000001</v>
          </cell>
          <cell r="Q15">
            <v>130976</v>
          </cell>
          <cell r="R15">
            <v>0.57740000000000002</v>
          </cell>
          <cell r="S15">
            <v>6.6E-3</v>
          </cell>
          <cell r="T15">
            <v>4.0000000000000001E-3</v>
          </cell>
          <cell r="U15">
            <v>9.5409999999999995E-2</v>
          </cell>
          <cell r="V15">
            <v>6.7690299999999995E-2</v>
          </cell>
        </row>
        <row r="16">
          <cell r="B16" t="str">
            <v>rs2276853</v>
          </cell>
          <cell r="C16">
            <v>3</v>
          </cell>
          <cell r="D16">
            <v>47282303</v>
          </cell>
          <cell r="E16" t="str">
            <v>KIF9</v>
          </cell>
          <cell r="F16" t="str">
            <v>R638W</v>
          </cell>
          <cell r="H16" t="str">
            <v>A</v>
          </cell>
          <cell r="I16" t="str">
            <v>G</v>
          </cell>
          <cell r="K16">
            <v>164238</v>
          </cell>
          <cell r="L16">
            <v>0.59040000000000004</v>
          </cell>
          <cell r="M16">
            <v>1.0800000000000001E-2</v>
          </cell>
          <cell r="N16">
            <v>3.5999999999999999E-3</v>
          </cell>
          <cell r="O16">
            <v>2.5400000000000002E-3</v>
          </cell>
          <cell r="P16">
            <v>0.3662861</v>
          </cell>
          <cell r="Q16">
            <v>130976</v>
          </cell>
          <cell r="R16">
            <v>0.59640000000000004</v>
          </cell>
          <cell r="S16">
            <v>8.6999999999999994E-3</v>
          </cell>
          <cell r="T16">
            <v>4.0000000000000001E-3</v>
          </cell>
          <cell r="U16">
            <v>3.039E-2</v>
          </cell>
          <cell r="V16">
            <v>0.20742659999999999</v>
          </cell>
        </row>
        <row r="17">
          <cell r="B17" t="str">
            <v>rs1034405</v>
          </cell>
          <cell r="C17">
            <v>3</v>
          </cell>
          <cell r="D17">
            <v>50597092</v>
          </cell>
          <cell r="E17" t="str">
            <v>C3orf18</v>
          </cell>
          <cell r="F17" t="str">
            <v>A162V</v>
          </cell>
          <cell r="H17" t="str">
            <v>G</v>
          </cell>
          <cell r="I17" t="str">
            <v>A</v>
          </cell>
          <cell r="K17">
            <v>210009</v>
          </cell>
          <cell r="L17">
            <v>0.1328</v>
          </cell>
          <cell r="M17">
            <v>1.5800000000000002E-2</v>
          </cell>
          <cell r="N17">
            <v>4.4999999999999997E-3</v>
          </cell>
          <cell r="O17">
            <v>4.9899999999999999E-4</v>
          </cell>
          <cell r="P17">
            <v>0.88411050000000002</v>
          </cell>
          <cell r="Q17">
            <v>193386</v>
          </cell>
          <cell r="R17">
            <v>0.1305</v>
          </cell>
          <cell r="S17">
            <v>1.6E-2</v>
          </cell>
          <cell r="T17">
            <v>4.7000000000000002E-3</v>
          </cell>
          <cell r="U17">
            <v>7.3800000000000005E-4</v>
          </cell>
          <cell r="V17">
            <v>0.92594279999999995</v>
          </cell>
        </row>
        <row r="18">
          <cell r="B18" t="str">
            <v>rs13303</v>
          </cell>
          <cell r="C18">
            <v>3</v>
          </cell>
          <cell r="D18">
            <v>52558008</v>
          </cell>
          <cell r="E18" t="str">
            <v>STAB1</v>
          </cell>
          <cell r="F18" t="str">
            <v>M113T</v>
          </cell>
          <cell r="G18" t="str">
            <v>yes</v>
          </cell>
          <cell r="H18" t="str">
            <v>T</v>
          </cell>
          <cell r="I18" t="str">
            <v>C</v>
          </cell>
          <cell r="K18">
            <v>223921</v>
          </cell>
          <cell r="L18">
            <v>0.45540000000000003</v>
          </cell>
          <cell r="M18">
            <v>1.5100000000000001E-2</v>
          </cell>
          <cell r="N18">
            <v>3.0000000000000001E-3</v>
          </cell>
          <cell r="O18">
            <v>6.92E-7</v>
          </cell>
          <cell r="P18">
            <v>6.73232E-2</v>
          </cell>
          <cell r="Q18">
            <v>190960</v>
          </cell>
          <cell r="R18">
            <v>0.43369999999999997</v>
          </cell>
          <cell r="S18">
            <v>1.7000000000000001E-2</v>
          </cell>
          <cell r="T18">
            <v>3.3E-3</v>
          </cell>
          <cell r="U18">
            <v>2.23E-7</v>
          </cell>
          <cell r="V18">
            <v>0.1143533</v>
          </cell>
        </row>
        <row r="19">
          <cell r="B19" t="str">
            <v>rs3617</v>
          </cell>
          <cell r="C19">
            <v>3</v>
          </cell>
          <cell r="D19">
            <v>52833805</v>
          </cell>
          <cell r="E19" t="str">
            <v>ITIH3</v>
          </cell>
          <cell r="F19" t="str">
            <v>Q315K</v>
          </cell>
          <cell r="G19" t="str">
            <v>yes</v>
          </cell>
          <cell r="H19" t="str">
            <v>C</v>
          </cell>
          <cell r="I19" t="str">
            <v>A</v>
          </cell>
          <cell r="K19">
            <v>225458</v>
          </cell>
          <cell r="L19">
            <v>0.54720000000000002</v>
          </cell>
          <cell r="M19">
            <v>1.3899999999999999E-2</v>
          </cell>
          <cell r="N19">
            <v>3.0000000000000001E-3</v>
          </cell>
          <cell r="O19">
            <v>2.7700000000000002E-6</v>
          </cell>
          <cell r="P19">
            <v>0.40022659999999999</v>
          </cell>
          <cell r="Q19">
            <v>192196</v>
          </cell>
          <cell r="R19">
            <v>0.54210000000000003</v>
          </cell>
          <cell r="S19">
            <v>1.72E-2</v>
          </cell>
          <cell r="T19">
            <v>3.2000000000000002E-3</v>
          </cell>
          <cell r="U19">
            <v>6.9699999999999995E-8</v>
          </cell>
          <cell r="V19">
            <v>0.77558009999999999</v>
          </cell>
        </row>
        <row r="20">
          <cell r="B20" t="str">
            <v>rs62266958</v>
          </cell>
          <cell r="C20">
            <v>3</v>
          </cell>
          <cell r="D20">
            <v>129137188</v>
          </cell>
          <cell r="E20" t="str">
            <v>EFCAB12</v>
          </cell>
          <cell r="F20" t="str">
            <v>R197H</v>
          </cell>
          <cell r="G20" t="str">
            <v>yes</v>
          </cell>
          <cell r="H20" t="str">
            <v>C</v>
          </cell>
          <cell r="I20" t="str">
            <v>T</v>
          </cell>
          <cell r="K20">
            <v>226690</v>
          </cell>
          <cell r="L20">
            <v>0.93669999999999998</v>
          </cell>
          <cell r="M20">
            <v>1.7999999999999999E-2</v>
          </cell>
          <cell r="N20">
            <v>6.1000000000000004E-3</v>
          </cell>
          <cell r="O20">
            <v>3.0620000000000001E-3</v>
          </cell>
          <cell r="P20">
            <v>9.31E-5</v>
          </cell>
          <cell r="Q20">
            <v>193428</v>
          </cell>
          <cell r="R20">
            <v>0.92959999999999998</v>
          </cell>
          <cell r="S20">
            <v>1.95E-2</v>
          </cell>
          <cell r="T20">
            <v>6.1999999999999998E-3</v>
          </cell>
          <cell r="U20">
            <v>1.7639999999999999E-3</v>
          </cell>
          <cell r="V20">
            <v>7.8499999999999997E-5</v>
          </cell>
        </row>
        <row r="21">
          <cell r="B21" t="str">
            <v>rs2625973</v>
          </cell>
          <cell r="C21">
            <v>3</v>
          </cell>
          <cell r="D21">
            <v>129284818</v>
          </cell>
          <cell r="E21" t="str">
            <v>PLXND1</v>
          </cell>
          <cell r="F21" t="str">
            <v>L1412V</v>
          </cell>
          <cell r="G21" t="str">
            <v>yes</v>
          </cell>
          <cell r="H21" t="str">
            <v>A</v>
          </cell>
          <cell r="I21" t="str">
            <v>C</v>
          </cell>
          <cell r="K21">
            <v>226650</v>
          </cell>
          <cell r="L21">
            <v>0.7359</v>
          </cell>
          <cell r="M21">
            <v>4.4999999999999997E-3</v>
          </cell>
          <cell r="N21">
            <v>3.3999999999999998E-3</v>
          </cell>
          <cell r="O21">
            <v>0.18529999999999999</v>
          </cell>
          <cell r="P21">
            <v>1.5699999999999999E-5</v>
          </cell>
          <cell r="Q21">
            <v>193388</v>
          </cell>
          <cell r="R21">
            <v>0.72289999999999999</v>
          </cell>
          <cell r="S21">
            <v>5.1999999999999998E-3</v>
          </cell>
          <cell r="T21">
            <v>3.5999999999999999E-3</v>
          </cell>
          <cell r="U21">
            <v>0.1474</v>
          </cell>
          <cell r="V21">
            <v>1.7399999999999999E-5</v>
          </cell>
        </row>
        <row r="22">
          <cell r="B22" t="str">
            <v>rs2255703</v>
          </cell>
          <cell r="C22">
            <v>3</v>
          </cell>
          <cell r="D22">
            <v>129293256</v>
          </cell>
          <cell r="E22" t="str">
            <v>PLXND1</v>
          </cell>
          <cell r="F22" t="str">
            <v>M870V</v>
          </cell>
          <cell r="G22" t="str">
            <v>yes</v>
          </cell>
          <cell r="H22" t="str">
            <v>T</v>
          </cell>
          <cell r="I22" t="str">
            <v>C</v>
          </cell>
          <cell r="K22">
            <v>226681</v>
          </cell>
          <cell r="L22">
            <v>0.60850000000000004</v>
          </cell>
          <cell r="M22">
            <v>3.0999999999999999E-3</v>
          </cell>
          <cell r="N22">
            <v>3.0999999999999999E-3</v>
          </cell>
          <cell r="O22">
            <v>0.31059999999999999</v>
          </cell>
          <cell r="P22">
            <v>4.9819999999999997E-4</v>
          </cell>
          <cell r="Q22">
            <v>193419</v>
          </cell>
          <cell r="R22">
            <v>0.62219999999999998</v>
          </cell>
          <cell r="S22">
            <v>4.1000000000000003E-3</v>
          </cell>
          <cell r="T22">
            <v>3.3E-3</v>
          </cell>
          <cell r="U22">
            <v>0.21540000000000001</v>
          </cell>
          <cell r="V22">
            <v>1.6200000000000001E-4</v>
          </cell>
        </row>
        <row r="23">
          <cell r="B23" t="str">
            <v>rs1804080</v>
          </cell>
          <cell r="C23">
            <v>4</v>
          </cell>
          <cell r="D23">
            <v>89625427</v>
          </cell>
          <cell r="E23" t="str">
            <v>HERC3</v>
          </cell>
          <cell r="F23" t="str">
            <v>E946Q</v>
          </cell>
          <cell r="G23" t="str">
            <v>yes</v>
          </cell>
          <cell r="H23" t="str">
            <v>G</v>
          </cell>
          <cell r="I23" t="str">
            <v>C</v>
          </cell>
          <cell r="K23">
            <v>222556</v>
          </cell>
          <cell r="L23">
            <v>0.8387</v>
          </cell>
          <cell r="M23">
            <v>7.4999999999999997E-3</v>
          </cell>
          <cell r="N23">
            <v>4.1000000000000003E-3</v>
          </cell>
          <cell r="O23">
            <v>6.6119999999999998E-2</v>
          </cell>
          <cell r="P23">
            <v>4.0799999999999999E-6</v>
          </cell>
          <cell r="Q23">
            <v>189294</v>
          </cell>
          <cell r="R23">
            <v>0.83740000000000003</v>
          </cell>
          <cell r="S23">
            <v>7.7999999999999996E-3</v>
          </cell>
          <cell r="T23">
            <v>4.4000000000000003E-3</v>
          </cell>
          <cell r="U23">
            <v>7.6770000000000005E-2</v>
          </cell>
          <cell r="V23">
            <v>1.6399999999999999E-5</v>
          </cell>
        </row>
        <row r="24">
          <cell r="B24" t="str">
            <v>rs7657817</v>
          </cell>
          <cell r="C24">
            <v>4</v>
          </cell>
          <cell r="D24">
            <v>89668859</v>
          </cell>
          <cell r="E24" t="str">
            <v>FAM13A</v>
          </cell>
          <cell r="F24" t="str">
            <v>V443I</v>
          </cell>
          <cell r="G24" t="str">
            <v>yes</v>
          </cell>
          <cell r="H24" t="str">
            <v>C</v>
          </cell>
          <cell r="I24" t="str">
            <v>T</v>
          </cell>
          <cell r="K24">
            <v>226680</v>
          </cell>
          <cell r="L24">
            <v>0.81610000000000005</v>
          </cell>
          <cell r="M24">
            <v>5.4999999999999997E-3</v>
          </cell>
          <cell r="N24">
            <v>3.8E-3</v>
          </cell>
          <cell r="O24">
            <v>0.15210000000000001</v>
          </cell>
          <cell r="P24">
            <v>9.5600000000000006E-5</v>
          </cell>
          <cell r="Q24">
            <v>193418</v>
          </cell>
          <cell r="R24">
            <v>0.82640000000000002</v>
          </cell>
          <cell r="S24">
            <v>5.8999999999999999E-3</v>
          </cell>
          <cell r="T24">
            <v>4.1999999999999997E-3</v>
          </cell>
          <cell r="U24">
            <v>0.1656</v>
          </cell>
          <cell r="V24">
            <v>5.4400000000000001E-5</v>
          </cell>
        </row>
        <row r="25">
          <cell r="B25" t="str">
            <v>rs3733526</v>
          </cell>
          <cell r="C25">
            <v>4</v>
          </cell>
          <cell r="D25">
            <v>120528327</v>
          </cell>
          <cell r="E25" t="str">
            <v>PDE5A</v>
          </cell>
          <cell r="F25" t="str">
            <v>A41V</v>
          </cell>
          <cell r="G25" t="str">
            <v>yes</v>
          </cell>
          <cell r="H25" t="str">
            <v>G</v>
          </cell>
          <cell r="I25" t="str">
            <v>A</v>
          </cell>
          <cell r="K25">
            <v>219069</v>
          </cell>
          <cell r="L25">
            <v>0.1865</v>
          </cell>
          <cell r="M25">
            <v>6.8999999999999999E-3</v>
          </cell>
          <cell r="N25">
            <v>3.8999999999999998E-3</v>
          </cell>
          <cell r="O25">
            <v>7.5170000000000001E-2</v>
          </cell>
          <cell r="P25">
            <v>5.1836E-3</v>
          </cell>
          <cell r="Q25">
            <v>185807</v>
          </cell>
          <cell r="R25">
            <v>0.188</v>
          </cell>
          <cell r="S25">
            <v>1.06E-2</v>
          </cell>
          <cell r="T25">
            <v>4.1999999999999997E-3</v>
          </cell>
          <cell r="U25">
            <v>1.091E-2</v>
          </cell>
          <cell r="V25">
            <v>2.85335E-2</v>
          </cell>
        </row>
        <row r="26">
          <cell r="B26" t="str">
            <v>rs1966265</v>
          </cell>
          <cell r="C26">
            <v>5</v>
          </cell>
          <cell r="D26">
            <v>176516631</v>
          </cell>
          <cell r="E26" t="str">
            <v>FGFR4</v>
          </cell>
          <cell r="F26" t="str">
            <v>V10I</v>
          </cell>
          <cell r="G26" t="str">
            <v>yes</v>
          </cell>
          <cell r="H26" t="str">
            <v>A</v>
          </cell>
          <cell r="I26" t="str">
            <v>G</v>
          </cell>
          <cell r="K26">
            <v>209944</v>
          </cell>
          <cell r="L26">
            <v>0.23799999999999999</v>
          </cell>
          <cell r="M26">
            <v>2.6100000000000002E-2</v>
          </cell>
          <cell r="N26">
            <v>3.5999999999999999E-3</v>
          </cell>
          <cell r="O26">
            <v>4.51E-13</v>
          </cell>
          <cell r="P26">
            <v>0.20593120000000001</v>
          </cell>
          <cell r="Q26">
            <v>193321</v>
          </cell>
          <cell r="R26">
            <v>0.23769999999999999</v>
          </cell>
          <cell r="S26">
            <v>2.5600000000000001E-2</v>
          </cell>
          <cell r="T26">
            <v>3.7000000000000002E-3</v>
          </cell>
          <cell r="U26">
            <v>7.1E-12</v>
          </cell>
          <cell r="V26">
            <v>0.1842374</v>
          </cell>
        </row>
        <row r="27">
          <cell r="B27" t="str">
            <v>rs142342609</v>
          </cell>
          <cell r="C27">
            <v>5</v>
          </cell>
          <cell r="D27">
            <v>180017643</v>
          </cell>
          <cell r="E27" t="str">
            <v>SCGB3A1</v>
          </cell>
          <cell r="F27" t="str">
            <v>G83D</v>
          </cell>
          <cell r="H27" t="str">
            <v>T</v>
          </cell>
          <cell r="I27" t="str">
            <v>C</v>
          </cell>
          <cell r="K27">
            <v>97989</v>
          </cell>
          <cell r="L27">
            <v>1E-3</v>
          </cell>
          <cell r="M27">
            <v>0.35089999999999999</v>
          </cell>
          <cell r="N27">
            <v>7.2499999999999995E-2</v>
          </cell>
          <cell r="O27">
            <v>1.2899999999999999E-6</v>
          </cell>
          <cell r="P27">
            <v>1.6786499999999999E-2</v>
          </cell>
          <cell r="Q27">
            <v>68930</v>
          </cell>
          <cell r="R27">
            <v>1.2999999999999999E-3</v>
          </cell>
          <cell r="S27">
            <v>0.37969999999999998</v>
          </cell>
          <cell r="T27">
            <v>7.6700000000000004E-2</v>
          </cell>
          <cell r="U27">
            <v>7.3200000000000004E-7</v>
          </cell>
          <cell r="V27">
            <v>7.6122999999999998E-3</v>
          </cell>
        </row>
        <row r="28">
          <cell r="B28" t="str">
            <v>rs1334576</v>
          </cell>
          <cell r="C28">
            <v>6</v>
          </cell>
          <cell r="D28">
            <v>7211818</v>
          </cell>
          <cell r="E28" t="str">
            <v>RREB1</v>
          </cell>
          <cell r="F28" t="str">
            <v>G195R</v>
          </cell>
          <cell r="G28" t="str">
            <v>yes</v>
          </cell>
          <cell r="H28" t="str">
            <v>G</v>
          </cell>
          <cell r="I28" t="str">
            <v>A</v>
          </cell>
          <cell r="K28">
            <v>226654</v>
          </cell>
          <cell r="L28">
            <v>0.55740000000000001</v>
          </cell>
          <cell r="M28">
            <v>2.0199999999999999E-2</v>
          </cell>
          <cell r="N28">
            <v>3.0000000000000001E-3</v>
          </cell>
          <cell r="O28">
            <v>1.36E-11</v>
          </cell>
          <cell r="P28">
            <v>0.14740420000000001</v>
          </cell>
          <cell r="Q28">
            <v>193392</v>
          </cell>
          <cell r="R28">
            <v>0.57179999999999997</v>
          </cell>
          <cell r="S28">
            <v>2.0899999999999998E-2</v>
          </cell>
          <cell r="T28">
            <v>3.2000000000000002E-3</v>
          </cell>
          <cell r="U28">
            <v>1.2199999999999999E-10</v>
          </cell>
          <cell r="V28">
            <v>8.2309400000000005E-2</v>
          </cell>
        </row>
        <row r="29">
          <cell r="B29" t="str">
            <v>rs146860658</v>
          </cell>
          <cell r="C29">
            <v>6</v>
          </cell>
          <cell r="D29">
            <v>26108117</v>
          </cell>
          <cell r="E29" t="str">
            <v>HIST1H1T</v>
          </cell>
          <cell r="F29" t="str">
            <v>A69T</v>
          </cell>
          <cell r="H29" t="str">
            <v>T</v>
          </cell>
          <cell r="I29" t="str">
            <v>C</v>
          </cell>
          <cell r="K29">
            <v>104955</v>
          </cell>
          <cell r="L29">
            <v>1.5E-3</v>
          </cell>
          <cell r="M29">
            <v>0.24640000000000001</v>
          </cell>
          <cell r="N29">
            <v>5.8000000000000003E-2</v>
          </cell>
          <cell r="O29">
            <v>2.1500000000000001E-5</v>
          </cell>
          <cell r="P29">
            <v>0.62699170000000004</v>
          </cell>
          <cell r="Q29">
            <v>74835</v>
          </cell>
          <cell r="R29">
            <v>1.9E-3</v>
          </cell>
          <cell r="S29">
            <v>0.26619999999999999</v>
          </cell>
          <cell r="T29">
            <v>5.96E-2</v>
          </cell>
          <cell r="U29">
            <v>7.9899999999999997E-6</v>
          </cell>
          <cell r="V29">
            <v>0.36417680000000002</v>
          </cell>
        </row>
        <row r="30">
          <cell r="B30" t="str">
            <v>rs9469913</v>
          </cell>
          <cell r="C30">
            <v>6</v>
          </cell>
          <cell r="D30">
            <v>34827085</v>
          </cell>
          <cell r="E30" t="str">
            <v>UHRF1BP1</v>
          </cell>
          <cell r="F30" t="str">
            <v>Q984H</v>
          </cell>
          <cell r="G30" t="str">
            <v>yes</v>
          </cell>
          <cell r="H30" t="str">
            <v>A</v>
          </cell>
          <cell r="I30" t="str">
            <v>T</v>
          </cell>
          <cell r="K30">
            <v>168354</v>
          </cell>
          <cell r="L30">
            <v>0.84699999999999998</v>
          </cell>
          <cell r="M30">
            <v>1.72E-2</v>
          </cell>
          <cell r="N30">
            <v>4.8999999999999998E-3</v>
          </cell>
          <cell r="O30">
            <v>4.0220000000000002E-4</v>
          </cell>
          <cell r="P30">
            <v>0.27479439999999999</v>
          </cell>
          <cell r="Q30">
            <v>141268</v>
          </cell>
          <cell r="R30">
            <v>0.83550000000000002</v>
          </cell>
          <cell r="S30">
            <v>1.7600000000000001E-2</v>
          </cell>
          <cell r="T30">
            <v>5.1000000000000004E-3</v>
          </cell>
          <cell r="U30">
            <v>5.9179999999999996E-4</v>
          </cell>
          <cell r="V30">
            <v>0.41233819999999999</v>
          </cell>
        </row>
        <row r="31">
          <cell r="B31" t="str">
            <v>rs1892172</v>
          </cell>
          <cell r="C31">
            <v>6</v>
          </cell>
          <cell r="D31">
            <v>127476516</v>
          </cell>
          <cell r="E31" t="str">
            <v>RSPO3</v>
          </cell>
          <cell r="F31" t="str">
            <v>synonymous</v>
          </cell>
          <cell r="G31" t="str">
            <v>yes</v>
          </cell>
          <cell r="H31" t="str">
            <v>A</v>
          </cell>
          <cell r="I31" t="str">
            <v>G</v>
          </cell>
          <cell r="K31">
            <v>226677</v>
          </cell>
          <cell r="L31">
            <v>0.54120000000000001</v>
          </cell>
          <cell r="M31">
            <v>1.84E-2</v>
          </cell>
          <cell r="N31">
            <v>3.0000000000000001E-3</v>
          </cell>
          <cell r="O31">
            <v>5.6100000000000003E-10</v>
          </cell>
          <cell r="P31">
            <v>7.7400000000000002E-9</v>
          </cell>
          <cell r="Q31">
            <v>193415</v>
          </cell>
          <cell r="R31">
            <v>0.53990000000000005</v>
          </cell>
          <cell r="S31">
            <v>2.0400000000000001E-2</v>
          </cell>
          <cell r="T31">
            <v>3.2000000000000002E-3</v>
          </cell>
          <cell r="U31">
            <v>1.8E-10</v>
          </cell>
          <cell r="V31">
            <v>4.3700000000000001E-8</v>
          </cell>
        </row>
        <row r="32">
          <cell r="B32" t="str">
            <v>rs139745911</v>
          </cell>
          <cell r="C32">
            <v>6</v>
          </cell>
          <cell r="D32">
            <v>127767954</v>
          </cell>
          <cell r="E32" t="str">
            <v>KIAA0408</v>
          </cell>
          <cell r="F32" t="str">
            <v>P504S</v>
          </cell>
          <cell r="G32" t="str">
            <v>yes</v>
          </cell>
          <cell r="H32" t="str">
            <v>A</v>
          </cell>
          <cell r="I32" t="str">
            <v>G</v>
          </cell>
          <cell r="K32">
            <v>188079</v>
          </cell>
          <cell r="L32">
            <v>9.4999999999999998E-3</v>
          </cell>
          <cell r="M32">
            <v>5.7000000000000002E-2</v>
          </cell>
          <cell r="N32">
            <v>1.6799999999999999E-2</v>
          </cell>
          <cell r="O32">
            <v>6.7679999999999997E-4</v>
          </cell>
          <cell r="P32">
            <v>1.9819999999999999E-4</v>
          </cell>
          <cell r="Q32">
            <v>174652</v>
          </cell>
          <cell r="R32">
            <v>1.01E-2</v>
          </cell>
          <cell r="S32">
            <v>5.5800000000000002E-2</v>
          </cell>
          <cell r="T32">
            <v>1.6799999999999999E-2</v>
          </cell>
          <cell r="U32">
            <v>9.2279999999999999E-4</v>
          </cell>
          <cell r="V32">
            <v>1.3210000000000001E-4</v>
          </cell>
        </row>
        <row r="33">
          <cell r="B33" t="str">
            <v>rs3734447</v>
          </cell>
          <cell r="C33">
            <v>6</v>
          </cell>
          <cell r="D33">
            <v>127771452</v>
          </cell>
          <cell r="E33" t="str">
            <v>KIAA0408</v>
          </cell>
          <cell r="F33" t="str">
            <v>S61R</v>
          </cell>
          <cell r="G33" t="str">
            <v>yes</v>
          </cell>
          <cell r="H33" t="str">
            <v>G</v>
          </cell>
          <cell r="I33" t="str">
            <v>T</v>
          </cell>
          <cell r="K33">
            <v>209829</v>
          </cell>
          <cell r="L33">
            <v>0.58789999999999998</v>
          </cell>
          <cell r="M33">
            <v>8.8999999999999999E-3</v>
          </cell>
          <cell r="N33">
            <v>3.0999999999999999E-3</v>
          </cell>
          <cell r="O33">
            <v>4.1349999999999998E-3</v>
          </cell>
          <cell r="P33">
            <v>0.90699030000000003</v>
          </cell>
          <cell r="Q33">
            <v>193206</v>
          </cell>
          <cell r="R33">
            <v>0.60229999999999995</v>
          </cell>
          <cell r="S33">
            <v>9.4000000000000004E-3</v>
          </cell>
          <cell r="T33">
            <v>3.2000000000000002E-3</v>
          </cell>
          <cell r="U33">
            <v>3.8730000000000001E-3</v>
          </cell>
          <cell r="V33">
            <v>0.89201649999999999</v>
          </cell>
        </row>
        <row r="34">
          <cell r="B34" t="str">
            <v>rs2303361</v>
          </cell>
          <cell r="C34">
            <v>7</v>
          </cell>
          <cell r="D34">
            <v>6449496</v>
          </cell>
          <cell r="E34" t="str">
            <v>DAGLB</v>
          </cell>
          <cell r="F34" t="str">
            <v>Q664R</v>
          </cell>
          <cell r="H34" t="str">
            <v>C</v>
          </cell>
          <cell r="I34" t="str">
            <v>T</v>
          </cell>
          <cell r="K34">
            <v>226385</v>
          </cell>
          <cell r="L34">
            <v>0.21759999999999999</v>
          </cell>
          <cell r="M34">
            <v>6.0000000000000001E-3</v>
          </cell>
          <cell r="N34">
            <v>3.5999999999999999E-3</v>
          </cell>
          <cell r="O34">
            <v>9.3450000000000005E-2</v>
          </cell>
          <cell r="P34">
            <v>3.3766E-3</v>
          </cell>
          <cell r="Q34">
            <v>193123</v>
          </cell>
          <cell r="R34">
            <v>0.22850000000000001</v>
          </cell>
          <cell r="S34">
            <v>7.0000000000000001E-3</v>
          </cell>
          <cell r="T34">
            <v>3.8E-3</v>
          </cell>
          <cell r="U34">
            <v>6.7369999999999999E-2</v>
          </cell>
          <cell r="V34">
            <v>6.6214000000000004E-3</v>
          </cell>
        </row>
        <row r="35">
          <cell r="B35" t="str">
            <v>rs146605392</v>
          </cell>
          <cell r="C35">
            <v>7</v>
          </cell>
          <cell r="D35">
            <v>47886522</v>
          </cell>
          <cell r="E35" t="str">
            <v>PKD1L1</v>
          </cell>
          <cell r="F35" t="str">
            <v>R1703H</v>
          </cell>
          <cell r="H35" t="str">
            <v>C</v>
          </cell>
          <cell r="I35" t="str">
            <v>T</v>
          </cell>
          <cell r="K35">
            <v>205786</v>
          </cell>
          <cell r="L35">
            <v>0.99929999999999997</v>
          </cell>
          <cell r="M35">
            <v>0.30570000000000003</v>
          </cell>
          <cell r="N35">
            <v>6.6500000000000004E-2</v>
          </cell>
          <cell r="O35">
            <v>4.2599999999999999E-6</v>
          </cell>
          <cell r="P35">
            <v>1.5277000000000001E-3</v>
          </cell>
          <cell r="Q35">
            <v>173271</v>
          </cell>
          <cell r="R35">
            <v>0.99909999999999999</v>
          </cell>
          <cell r="S35">
            <v>0.3251</v>
          </cell>
          <cell r="T35">
            <v>6.7199999999999996E-2</v>
          </cell>
          <cell r="U35">
            <v>1.3400000000000001E-6</v>
          </cell>
          <cell r="V35">
            <v>1.4832999999999999E-3</v>
          </cell>
        </row>
        <row r="36">
          <cell r="B36" t="str">
            <v>rs35332062</v>
          </cell>
          <cell r="C36">
            <v>7</v>
          </cell>
          <cell r="D36">
            <v>73012042</v>
          </cell>
          <cell r="E36" t="str">
            <v>MLXIPL</v>
          </cell>
          <cell r="F36" t="str">
            <v>A358V</v>
          </cell>
          <cell r="H36" t="str">
            <v>G</v>
          </cell>
          <cell r="I36" t="str">
            <v>A</v>
          </cell>
          <cell r="K36">
            <v>226710</v>
          </cell>
          <cell r="L36">
            <v>0.88060000000000005</v>
          </cell>
          <cell r="M36">
            <v>1.6E-2</v>
          </cell>
          <cell r="N36">
            <v>4.5999999999999999E-3</v>
          </cell>
          <cell r="O36">
            <v>5.0049999999999997E-4</v>
          </cell>
          <cell r="P36">
            <v>0.14534749999999999</v>
          </cell>
          <cell r="Q36">
            <v>193448</v>
          </cell>
          <cell r="R36">
            <v>0.87580000000000002</v>
          </cell>
          <cell r="S36">
            <v>1.6500000000000001E-2</v>
          </cell>
          <cell r="T36">
            <v>4.8999999999999998E-3</v>
          </cell>
          <cell r="U36">
            <v>7.2599999999999997E-4</v>
          </cell>
          <cell r="V36">
            <v>0.14982799999999999</v>
          </cell>
        </row>
        <row r="37">
          <cell r="B37" t="str">
            <v>rs3812316</v>
          </cell>
          <cell r="C37">
            <v>7</v>
          </cell>
          <cell r="D37">
            <v>73020337</v>
          </cell>
          <cell r="E37" t="str">
            <v>MLXIPL</v>
          </cell>
          <cell r="F37" t="str">
            <v>Q241H</v>
          </cell>
          <cell r="H37" t="str">
            <v>C</v>
          </cell>
          <cell r="I37" t="str">
            <v>G</v>
          </cell>
          <cell r="K37">
            <v>215797</v>
          </cell>
          <cell r="L37">
            <v>0.88160000000000005</v>
          </cell>
          <cell r="M37">
            <v>1.5100000000000001E-2</v>
          </cell>
          <cell r="N37">
            <v>4.7000000000000002E-3</v>
          </cell>
          <cell r="O37">
            <v>1.431E-3</v>
          </cell>
          <cell r="P37">
            <v>5.7995199999999997E-2</v>
          </cell>
          <cell r="Q37">
            <v>182535</v>
          </cell>
          <cell r="R37">
            <v>0.87590000000000001</v>
          </cell>
          <cell r="S37">
            <v>1.55E-2</v>
          </cell>
          <cell r="T37">
            <v>5.0000000000000001E-3</v>
          </cell>
          <cell r="U37">
            <v>2.0639999999999999E-3</v>
          </cell>
          <cell r="V37">
            <v>6.2659699999999999E-2</v>
          </cell>
        </row>
        <row r="38">
          <cell r="B38" t="str">
            <v>rs1935</v>
          </cell>
          <cell r="C38">
            <v>10</v>
          </cell>
          <cell r="D38">
            <v>64927823</v>
          </cell>
          <cell r="E38" t="str">
            <v>JMJD1C</v>
          </cell>
          <cell r="F38" t="str">
            <v>E2535D</v>
          </cell>
          <cell r="H38" t="str">
            <v>C</v>
          </cell>
          <cell r="I38" t="str">
            <v>G</v>
          </cell>
          <cell r="K38">
            <v>222526</v>
          </cell>
          <cell r="L38">
            <v>0.51800000000000002</v>
          </cell>
          <cell r="M38">
            <v>5.8999999999999999E-3</v>
          </cell>
          <cell r="N38">
            <v>3.0000000000000001E-3</v>
          </cell>
          <cell r="O38">
            <v>5.0020000000000002E-2</v>
          </cell>
          <cell r="P38">
            <v>9.6274200000000004E-2</v>
          </cell>
          <cell r="Q38">
            <v>189264</v>
          </cell>
          <cell r="R38">
            <v>0.51690000000000003</v>
          </cell>
          <cell r="S38">
            <v>8.0000000000000002E-3</v>
          </cell>
          <cell r="T38">
            <v>3.3E-3</v>
          </cell>
          <cell r="U38">
            <v>1.44E-2</v>
          </cell>
          <cell r="V38">
            <v>0.22076309999999999</v>
          </cell>
        </row>
        <row r="39">
          <cell r="B39" t="str">
            <v>rs17417407</v>
          </cell>
          <cell r="C39">
            <v>10</v>
          </cell>
          <cell r="D39">
            <v>95931087</v>
          </cell>
          <cell r="E39" t="str">
            <v>PLCE1</v>
          </cell>
          <cell r="F39" t="str">
            <v>R240L</v>
          </cell>
          <cell r="H39" t="str">
            <v>T</v>
          </cell>
          <cell r="I39" t="str">
            <v>G</v>
          </cell>
          <cell r="K39">
            <v>226727</v>
          </cell>
          <cell r="L39">
            <v>0.17680000000000001</v>
          </cell>
          <cell r="M39">
            <v>1.67E-2</v>
          </cell>
          <cell r="N39">
            <v>3.8999999999999998E-3</v>
          </cell>
          <cell r="O39">
            <v>1.8499999999999999E-5</v>
          </cell>
          <cell r="P39">
            <v>0.59136100000000003</v>
          </cell>
          <cell r="Q39">
            <v>193465</v>
          </cell>
          <cell r="R39">
            <v>0.1628</v>
          </cell>
          <cell r="S39">
            <v>1.8599999999999998E-2</v>
          </cell>
          <cell r="T39">
            <v>4.3E-3</v>
          </cell>
          <cell r="U39">
            <v>1.8E-5</v>
          </cell>
          <cell r="V39">
            <v>0.7216205</v>
          </cell>
        </row>
        <row r="40">
          <cell r="B40" t="str">
            <v>rs284860</v>
          </cell>
          <cell r="C40">
            <v>10</v>
          </cell>
          <cell r="D40">
            <v>104572963</v>
          </cell>
          <cell r="E40" t="str">
            <v>WBP1L</v>
          </cell>
          <cell r="F40" t="str">
            <v>S323P</v>
          </cell>
          <cell r="G40" t="str">
            <v>yes</v>
          </cell>
          <cell r="H40" t="str">
            <v>T</v>
          </cell>
          <cell r="I40" t="str">
            <v>C</v>
          </cell>
          <cell r="K40">
            <v>225335</v>
          </cell>
          <cell r="L40">
            <v>0.40570000000000001</v>
          </cell>
          <cell r="M40">
            <v>-3.8E-3</v>
          </cell>
          <cell r="N40">
            <v>3.0000000000000001E-3</v>
          </cell>
          <cell r="O40">
            <v>0.21210000000000001</v>
          </cell>
          <cell r="P40">
            <v>6.7960000000000004E-4</v>
          </cell>
          <cell r="Q40">
            <v>192073</v>
          </cell>
          <cell r="R40">
            <v>0.40550000000000003</v>
          </cell>
          <cell r="S40">
            <v>-6.1000000000000004E-3</v>
          </cell>
          <cell r="T40">
            <v>3.3E-3</v>
          </cell>
          <cell r="U40">
            <v>6.2539999999999998E-2</v>
          </cell>
          <cell r="V40">
            <v>3.4E-5</v>
          </cell>
        </row>
        <row r="41">
          <cell r="B41" t="str">
            <v>rs138315382</v>
          </cell>
          <cell r="C41">
            <v>10</v>
          </cell>
          <cell r="D41">
            <v>123279643</v>
          </cell>
          <cell r="E41" t="str">
            <v>FGFR2</v>
          </cell>
          <cell r="F41" t="str">
            <v>synonymous</v>
          </cell>
          <cell r="H41" t="str">
            <v>T</v>
          </cell>
          <cell r="I41" t="str">
            <v>C</v>
          </cell>
          <cell r="K41">
            <v>113541</v>
          </cell>
          <cell r="L41">
            <v>1.1000000000000001E-3</v>
          </cell>
          <cell r="M41">
            <v>0.32750000000000001</v>
          </cell>
          <cell r="N41">
            <v>6.5100000000000005E-2</v>
          </cell>
          <cell r="O41">
            <v>4.89E-7</v>
          </cell>
          <cell r="P41">
            <v>0.10897859999999999</v>
          </cell>
          <cell r="Q41">
            <v>83489</v>
          </cell>
          <cell r="R41">
            <v>1.2999999999999999E-3</v>
          </cell>
          <cell r="S41">
            <v>0.36580000000000001</v>
          </cell>
          <cell r="T41">
            <v>6.88E-2</v>
          </cell>
          <cell r="U41">
            <v>1.04E-7</v>
          </cell>
          <cell r="V41">
            <v>3.6247099999999997E-2</v>
          </cell>
        </row>
        <row r="42">
          <cell r="B42" t="str">
            <v>rs35169799</v>
          </cell>
          <cell r="C42">
            <v>11</v>
          </cell>
          <cell r="D42">
            <v>64031241</v>
          </cell>
          <cell r="E42" t="str">
            <v>PLCB3</v>
          </cell>
          <cell r="F42" t="str">
            <v>S778L</v>
          </cell>
          <cell r="G42" t="str">
            <v>yes</v>
          </cell>
          <cell r="H42" t="str">
            <v>T</v>
          </cell>
          <cell r="I42" t="str">
            <v>C</v>
          </cell>
          <cell r="K42">
            <v>226713</v>
          </cell>
          <cell r="L42">
            <v>6.08E-2</v>
          </cell>
          <cell r="M42">
            <v>1.61E-2</v>
          </cell>
          <cell r="N42">
            <v>6.1999999999999998E-3</v>
          </cell>
          <cell r="O42">
            <v>9.5600000000000008E-3</v>
          </cell>
          <cell r="P42">
            <v>1.27E-4</v>
          </cell>
          <cell r="Q42">
            <v>193451</v>
          </cell>
          <cell r="R42">
            <v>6.7100000000000007E-2</v>
          </cell>
          <cell r="S42">
            <v>1.2200000000000001E-2</v>
          </cell>
          <cell r="T42">
            <v>6.4000000000000003E-3</v>
          </cell>
          <cell r="U42">
            <v>5.7829999999999999E-2</v>
          </cell>
          <cell r="V42">
            <v>2.4600000000000002E-5</v>
          </cell>
        </row>
        <row r="43">
          <cell r="B43" t="str">
            <v>rs7114037</v>
          </cell>
          <cell r="C43">
            <v>11</v>
          </cell>
          <cell r="D43">
            <v>65403651</v>
          </cell>
          <cell r="E43" t="str">
            <v>PCNXL3</v>
          </cell>
          <cell r="F43" t="str">
            <v>H1822Q</v>
          </cell>
          <cell r="H43" t="str">
            <v>C</v>
          </cell>
          <cell r="I43" t="str">
            <v>A</v>
          </cell>
          <cell r="K43">
            <v>222814</v>
          </cell>
          <cell r="L43">
            <v>0.95499999999999996</v>
          </cell>
          <cell r="M43">
            <v>2.4199999999999999E-2</v>
          </cell>
          <cell r="N43">
            <v>7.3000000000000001E-3</v>
          </cell>
          <cell r="O43">
            <v>8.518E-4</v>
          </cell>
          <cell r="P43">
            <v>0.43734580000000001</v>
          </cell>
          <cell r="Q43">
            <v>189552</v>
          </cell>
          <cell r="R43">
            <v>0.94930000000000003</v>
          </cell>
          <cell r="S43">
            <v>2.5000000000000001E-2</v>
          </cell>
          <cell r="T43">
            <v>7.4000000000000003E-3</v>
          </cell>
          <cell r="U43">
            <v>6.9850000000000001E-4</v>
          </cell>
          <cell r="V43">
            <v>0.54766959999999998</v>
          </cell>
        </row>
        <row r="44">
          <cell r="B44" t="str">
            <v>rs145878042</v>
          </cell>
          <cell r="C44">
            <v>12</v>
          </cell>
          <cell r="D44">
            <v>48143315</v>
          </cell>
          <cell r="E44" t="str">
            <v>RAPGEF3</v>
          </cell>
          <cell r="F44" t="str">
            <v>L300P</v>
          </cell>
          <cell r="H44" t="str">
            <v>A</v>
          </cell>
          <cell r="I44" t="str">
            <v>G</v>
          </cell>
          <cell r="K44">
            <v>224600</v>
          </cell>
          <cell r="L44">
            <v>0.98960000000000004</v>
          </cell>
          <cell r="M44">
            <v>5.3499999999999999E-2</v>
          </cell>
          <cell r="N44">
            <v>1.47E-2</v>
          </cell>
          <cell r="O44">
            <v>2.6659999999999998E-4</v>
          </cell>
          <cell r="P44">
            <v>7.3485E-3</v>
          </cell>
          <cell r="Q44">
            <v>191338</v>
          </cell>
          <cell r="R44">
            <v>0.98829999999999996</v>
          </cell>
          <cell r="S44">
            <v>4.9700000000000001E-2</v>
          </cell>
          <cell r="T44">
            <v>1.4999999999999999E-2</v>
          </cell>
          <cell r="U44">
            <v>8.8670000000000003E-4</v>
          </cell>
          <cell r="V44">
            <v>4.2421000000000004E-3</v>
          </cell>
        </row>
        <row r="45">
          <cell r="B45" t="str">
            <v>rs3764002</v>
          </cell>
          <cell r="C45">
            <v>12</v>
          </cell>
          <cell r="D45">
            <v>108618630</v>
          </cell>
          <cell r="E45" t="str">
            <v>WSCD2</v>
          </cell>
          <cell r="F45" t="str">
            <v>T266I</v>
          </cell>
          <cell r="H45" t="str">
            <v>C</v>
          </cell>
          <cell r="I45" t="str">
            <v>T</v>
          </cell>
          <cell r="K45">
            <v>226691</v>
          </cell>
          <cell r="L45">
            <v>0.72899999999999998</v>
          </cell>
          <cell r="M45">
            <v>1.6500000000000001E-2</v>
          </cell>
          <cell r="N45">
            <v>3.3999999999999998E-3</v>
          </cell>
          <cell r="O45">
            <v>8.9100000000000002E-7</v>
          </cell>
          <cell r="P45">
            <v>0.5513747</v>
          </cell>
          <cell r="Q45">
            <v>193429</v>
          </cell>
          <cell r="R45">
            <v>0.73399999999999999</v>
          </cell>
          <cell r="S45">
            <v>1.6199999999999999E-2</v>
          </cell>
          <cell r="T45">
            <v>3.5999999999999999E-3</v>
          </cell>
          <cell r="U45">
            <v>7.5299999999999999E-6</v>
          </cell>
          <cell r="V45">
            <v>0.61080420000000002</v>
          </cell>
        </row>
        <row r="46">
          <cell r="B46" t="str">
            <v>rs1798192</v>
          </cell>
          <cell r="C46">
            <v>12</v>
          </cell>
          <cell r="D46">
            <v>123200768</v>
          </cell>
          <cell r="E46" t="str">
            <v>HCAR3</v>
          </cell>
          <cell r="F46" t="str">
            <v>T173P</v>
          </cell>
          <cell r="H46" t="str">
            <v>T</v>
          </cell>
          <cell r="I46" t="str">
            <v>G</v>
          </cell>
          <cell r="K46">
            <v>210046</v>
          </cell>
          <cell r="L46">
            <v>0.44540000000000002</v>
          </cell>
          <cell r="M46">
            <v>4.3E-3</v>
          </cell>
          <cell r="N46">
            <v>4.7000000000000002E-3</v>
          </cell>
          <cell r="O46">
            <v>0.36549999999999999</v>
          </cell>
          <cell r="P46">
            <v>6.7552999999999997E-3</v>
          </cell>
          <cell r="Q46">
            <v>193423</v>
          </cell>
          <cell r="R46">
            <v>0.43509999999999999</v>
          </cell>
          <cell r="S46">
            <v>6.6E-3</v>
          </cell>
          <cell r="T46">
            <v>4.8999999999999998E-3</v>
          </cell>
          <cell r="U46">
            <v>0.1734</v>
          </cell>
          <cell r="V46">
            <v>6.6847E-3</v>
          </cell>
        </row>
        <row r="47">
          <cell r="B47" t="str">
            <v>rs58843120</v>
          </cell>
          <cell r="C47">
            <v>12</v>
          </cell>
          <cell r="D47">
            <v>123444507</v>
          </cell>
          <cell r="E47" t="str">
            <v>ABCB9</v>
          </cell>
          <cell r="F47" t="str">
            <v>F92L</v>
          </cell>
          <cell r="G47" t="str">
            <v>yes</v>
          </cell>
          <cell r="H47" t="str">
            <v>G</v>
          </cell>
          <cell r="I47" t="str">
            <v>T</v>
          </cell>
          <cell r="K47">
            <v>219520</v>
          </cell>
          <cell r="L47">
            <v>0.98740000000000006</v>
          </cell>
          <cell r="M47">
            <v>4.3499999999999997E-2</v>
          </cell>
          <cell r="N47">
            <v>1.37E-2</v>
          </cell>
          <cell r="O47">
            <v>1.4580000000000001E-3</v>
          </cell>
          <cell r="P47">
            <v>0.35055969999999997</v>
          </cell>
          <cell r="Q47">
            <v>187550</v>
          </cell>
          <cell r="R47">
            <v>0.98640000000000005</v>
          </cell>
          <cell r="S47">
            <v>4.6100000000000002E-2</v>
          </cell>
          <cell r="T47">
            <v>1.4200000000000001E-2</v>
          </cell>
          <cell r="U47">
            <v>1.1609999999999999E-3</v>
          </cell>
          <cell r="V47">
            <v>0.36059089999999999</v>
          </cell>
        </row>
        <row r="48">
          <cell r="B48" t="str">
            <v>rs11057353</v>
          </cell>
          <cell r="C48">
            <v>12</v>
          </cell>
          <cell r="D48">
            <v>124265687</v>
          </cell>
          <cell r="E48" t="str">
            <v>DNAH10</v>
          </cell>
          <cell r="F48" t="str">
            <v>S228P</v>
          </cell>
          <cell r="G48" t="str">
            <v>yes</v>
          </cell>
          <cell r="H48" t="str">
            <v>T</v>
          </cell>
          <cell r="I48" t="str">
            <v>C</v>
          </cell>
          <cell r="K48">
            <v>226659</v>
          </cell>
          <cell r="L48">
            <v>0.36990000000000001</v>
          </cell>
          <cell r="M48">
            <v>5.3E-3</v>
          </cell>
          <cell r="N48">
            <v>3.0999999999999999E-3</v>
          </cell>
          <cell r="O48">
            <v>8.344E-2</v>
          </cell>
          <cell r="P48">
            <v>2.6799999999999998E-8</v>
          </cell>
          <cell r="Q48">
            <v>193397</v>
          </cell>
          <cell r="R48">
            <v>0.37869999999999998</v>
          </cell>
          <cell r="S48">
            <v>5.0000000000000001E-3</v>
          </cell>
          <cell r="T48">
            <v>3.3E-3</v>
          </cell>
          <cell r="U48">
            <v>0.1293</v>
          </cell>
          <cell r="V48">
            <v>3.8199999999999998E-8</v>
          </cell>
        </row>
        <row r="49">
          <cell r="B49" t="str">
            <v>rs34934281</v>
          </cell>
          <cell r="C49">
            <v>12</v>
          </cell>
          <cell r="D49">
            <v>124330311</v>
          </cell>
          <cell r="E49" t="str">
            <v>DNAH10</v>
          </cell>
          <cell r="F49" t="str">
            <v>T1785M</v>
          </cell>
          <cell r="G49" t="str">
            <v>yes</v>
          </cell>
          <cell r="H49" t="str">
            <v>C</v>
          </cell>
          <cell r="I49" t="str">
            <v>T</v>
          </cell>
          <cell r="K49">
            <v>226682</v>
          </cell>
          <cell r="L49">
            <v>0.89129999999999998</v>
          </cell>
          <cell r="M49">
            <v>6.3E-3</v>
          </cell>
          <cell r="N49">
            <v>4.7999999999999996E-3</v>
          </cell>
          <cell r="O49">
            <v>0.18579999999999999</v>
          </cell>
          <cell r="P49">
            <v>3.1300000000000002E-8</v>
          </cell>
          <cell r="Q49">
            <v>193420</v>
          </cell>
          <cell r="R49">
            <v>0.8831</v>
          </cell>
          <cell r="S49">
            <v>5.8999999999999999E-3</v>
          </cell>
          <cell r="T49">
            <v>5.0000000000000001E-3</v>
          </cell>
          <cell r="U49">
            <v>0.23269999999999999</v>
          </cell>
          <cell r="V49">
            <v>3.9300000000000001E-8</v>
          </cell>
        </row>
        <row r="50">
          <cell r="B50" t="str">
            <v>rs11057401</v>
          </cell>
          <cell r="C50">
            <v>12</v>
          </cell>
          <cell r="D50">
            <v>124427306</v>
          </cell>
          <cell r="E50" t="str">
            <v>CCDC92</v>
          </cell>
          <cell r="F50" t="str">
            <v>S53C</v>
          </cell>
          <cell r="G50" t="str">
            <v>yes</v>
          </cell>
          <cell r="H50" t="str">
            <v>T</v>
          </cell>
          <cell r="I50" t="str">
            <v>A</v>
          </cell>
          <cell r="K50">
            <v>223324</v>
          </cell>
          <cell r="L50">
            <v>0.70079999999999998</v>
          </cell>
          <cell r="M50">
            <v>1.34E-2</v>
          </cell>
          <cell r="N50">
            <v>3.3E-3</v>
          </cell>
          <cell r="O50">
            <v>4.2500000000000003E-5</v>
          </cell>
          <cell r="P50">
            <v>5.4899999999999999E-11</v>
          </cell>
          <cell r="Q50">
            <v>190062</v>
          </cell>
          <cell r="R50">
            <v>0.68689999999999996</v>
          </cell>
          <cell r="S50">
            <v>1.4200000000000001E-2</v>
          </cell>
          <cell r="T50">
            <v>3.5000000000000001E-3</v>
          </cell>
          <cell r="U50">
            <v>4.71E-5</v>
          </cell>
          <cell r="V50">
            <v>7.1699999999999995E-11</v>
          </cell>
        </row>
        <row r="51">
          <cell r="B51" t="str">
            <v>rs148108950</v>
          </cell>
          <cell r="C51">
            <v>13</v>
          </cell>
          <cell r="D51">
            <v>96665697</v>
          </cell>
          <cell r="E51" t="str">
            <v>UGGT2</v>
          </cell>
          <cell r="F51" t="str">
            <v>P175L</v>
          </cell>
          <cell r="H51" t="str">
            <v>A</v>
          </cell>
          <cell r="I51" t="str">
            <v>G</v>
          </cell>
          <cell r="K51">
            <v>203009</v>
          </cell>
          <cell r="L51">
            <v>5.4999999999999997E-3</v>
          </cell>
          <cell r="M51">
            <v>0.12989999999999999</v>
          </cell>
          <cell r="N51">
            <v>2.4E-2</v>
          </cell>
          <cell r="O51">
            <v>6.1399999999999994E-8</v>
          </cell>
          <cell r="P51">
            <v>1.53E-6</v>
          </cell>
          <cell r="Q51">
            <v>172943</v>
          </cell>
          <cell r="R51">
            <v>7.0000000000000001E-3</v>
          </cell>
          <cell r="S51">
            <v>0.1293</v>
          </cell>
          <cell r="T51">
            <v>2.4E-2</v>
          </cell>
          <cell r="U51">
            <v>7.1600000000000006E-8</v>
          </cell>
          <cell r="V51">
            <v>7.2600000000000002E-7</v>
          </cell>
        </row>
        <row r="52">
          <cell r="B52" t="str">
            <v>rs1042704</v>
          </cell>
          <cell r="C52">
            <v>14</v>
          </cell>
          <cell r="D52">
            <v>23312594</v>
          </cell>
          <cell r="E52" t="str">
            <v>MMP14</v>
          </cell>
          <cell r="F52" t="str">
            <v>D273N</v>
          </cell>
          <cell r="H52" t="str">
            <v>A</v>
          </cell>
          <cell r="I52" t="str">
            <v>G</v>
          </cell>
          <cell r="K52">
            <v>226646</v>
          </cell>
          <cell r="L52">
            <v>0.20169999999999999</v>
          </cell>
          <cell r="M52">
            <v>2.06E-2</v>
          </cell>
          <cell r="N52">
            <v>3.7000000000000002E-3</v>
          </cell>
          <cell r="O52">
            <v>2.6000000000000001E-8</v>
          </cell>
          <cell r="P52">
            <v>2.6069999999999999E-4</v>
          </cell>
          <cell r="Q52">
            <v>193384</v>
          </cell>
          <cell r="R52">
            <v>0.20669999999999999</v>
          </cell>
          <cell r="S52">
            <v>2.1000000000000001E-2</v>
          </cell>
          <cell r="T52">
            <v>3.8999999999999998E-3</v>
          </cell>
          <cell r="U52">
            <v>1.01E-7</v>
          </cell>
          <cell r="V52">
            <v>7.3760000000000004E-4</v>
          </cell>
        </row>
        <row r="53">
          <cell r="B53" t="str">
            <v>rs1051860</v>
          </cell>
          <cell r="C53">
            <v>14</v>
          </cell>
          <cell r="D53">
            <v>58838668</v>
          </cell>
          <cell r="E53" t="str">
            <v>ARID4A</v>
          </cell>
          <cell r="F53" t="str">
            <v>synonymous</v>
          </cell>
          <cell r="H53" t="str">
            <v>A</v>
          </cell>
          <cell r="I53" t="str">
            <v>G</v>
          </cell>
          <cell r="K53">
            <v>197674</v>
          </cell>
          <cell r="L53">
            <v>0.41270000000000001</v>
          </cell>
          <cell r="M53">
            <v>7.6E-3</v>
          </cell>
          <cell r="N53">
            <v>3.2000000000000002E-3</v>
          </cell>
          <cell r="O53">
            <v>1.729E-2</v>
          </cell>
          <cell r="P53">
            <v>0.123918</v>
          </cell>
          <cell r="Q53">
            <v>165473</v>
          </cell>
          <cell r="R53">
            <v>0.41310000000000002</v>
          </cell>
          <cell r="S53">
            <v>9.4999999999999998E-3</v>
          </cell>
          <cell r="T53">
            <v>3.5000000000000001E-3</v>
          </cell>
          <cell r="U53">
            <v>6.8669999999999998E-3</v>
          </cell>
          <cell r="V53">
            <v>0.126083</v>
          </cell>
        </row>
        <row r="54">
          <cell r="B54" t="str">
            <v>rs148151659</v>
          </cell>
          <cell r="C54">
            <v>14</v>
          </cell>
          <cell r="D54">
            <v>99876522</v>
          </cell>
          <cell r="E54" t="str">
            <v>SETD3</v>
          </cell>
          <cell r="F54" t="str">
            <v>A294T</v>
          </cell>
          <cell r="H54" t="str">
            <v>C</v>
          </cell>
          <cell r="I54" t="str">
            <v>T</v>
          </cell>
          <cell r="K54">
            <v>147752</v>
          </cell>
          <cell r="L54">
            <v>0.99990000000000001</v>
          </cell>
          <cell r="M54">
            <v>0.1226</v>
          </cell>
          <cell r="N54">
            <v>0.23580000000000001</v>
          </cell>
          <cell r="O54">
            <v>0.60309999999999997</v>
          </cell>
          <cell r="P54">
            <v>6.1260000000000004E-3</v>
          </cell>
          <cell r="Q54">
            <v>116625</v>
          </cell>
          <cell r="R54">
            <v>0.99990000000000001</v>
          </cell>
          <cell r="S54">
            <v>0.13880000000000001</v>
          </cell>
          <cell r="T54">
            <v>0.2427</v>
          </cell>
          <cell r="U54">
            <v>0.5675</v>
          </cell>
          <cell r="V54">
            <v>6.0023999999999997E-3</v>
          </cell>
        </row>
        <row r="55">
          <cell r="B55" t="str">
            <v>rs17677991</v>
          </cell>
          <cell r="C55">
            <v>15</v>
          </cell>
          <cell r="D55">
            <v>42032383</v>
          </cell>
          <cell r="E55" t="str">
            <v>MGA</v>
          </cell>
          <cell r="F55" t="str">
            <v>P1523A</v>
          </cell>
          <cell r="H55" t="str">
            <v>G</v>
          </cell>
          <cell r="I55" t="str">
            <v>C</v>
          </cell>
          <cell r="K55">
            <v>223581</v>
          </cell>
          <cell r="L55">
            <v>0.34749999999999998</v>
          </cell>
          <cell r="M55">
            <v>1.44E-2</v>
          </cell>
          <cell r="N55">
            <v>3.0999999999999999E-3</v>
          </cell>
          <cell r="O55">
            <v>4.3100000000000002E-6</v>
          </cell>
          <cell r="P55">
            <v>0.90847120000000003</v>
          </cell>
          <cell r="Q55">
            <v>190319</v>
          </cell>
          <cell r="R55">
            <v>0.3569</v>
          </cell>
          <cell r="S55">
            <v>1.6899999999999998E-2</v>
          </cell>
          <cell r="T55">
            <v>3.3999999999999998E-3</v>
          </cell>
          <cell r="U55">
            <v>5.6499999999999999E-7</v>
          </cell>
          <cell r="V55">
            <v>0.93118140000000005</v>
          </cell>
        </row>
        <row r="56">
          <cell r="B56" t="str">
            <v>rs3959569</v>
          </cell>
          <cell r="C56">
            <v>15</v>
          </cell>
          <cell r="D56">
            <v>42115747</v>
          </cell>
          <cell r="E56" t="str">
            <v>MAPKBP1</v>
          </cell>
          <cell r="F56" t="str">
            <v>R1240H</v>
          </cell>
          <cell r="H56" t="str">
            <v>C</v>
          </cell>
          <cell r="I56" t="str">
            <v>G</v>
          </cell>
          <cell r="K56">
            <v>142180</v>
          </cell>
          <cell r="L56">
            <v>0.31290000000000001</v>
          </cell>
          <cell r="M56">
            <v>1.17E-2</v>
          </cell>
          <cell r="N56">
            <v>4.1000000000000003E-3</v>
          </cell>
          <cell r="O56">
            <v>4.4799999999999996E-3</v>
          </cell>
          <cell r="P56">
            <v>0.41386669999999998</v>
          </cell>
          <cell r="Q56">
            <v>113503</v>
          </cell>
          <cell r="R56">
            <v>0.3508</v>
          </cell>
          <cell r="S56">
            <v>1.5800000000000002E-2</v>
          </cell>
          <cell r="T56">
            <v>4.4999999999999997E-3</v>
          </cell>
          <cell r="U56">
            <v>4.4789999999999999E-4</v>
          </cell>
          <cell r="V56">
            <v>0.63485380000000002</v>
          </cell>
        </row>
        <row r="57">
          <cell r="B57" t="str">
            <v>rs12593397</v>
          </cell>
          <cell r="C57">
            <v>15</v>
          </cell>
          <cell r="D57">
            <v>42166500</v>
          </cell>
          <cell r="E57" t="str">
            <v>SPTBN5</v>
          </cell>
          <cell r="F57" t="str">
            <v>R1560H</v>
          </cell>
          <cell r="H57" t="str">
            <v>T</v>
          </cell>
          <cell r="I57" t="str">
            <v>C</v>
          </cell>
          <cell r="K57">
            <v>219110</v>
          </cell>
          <cell r="L57">
            <v>0.43630000000000002</v>
          </cell>
          <cell r="M57">
            <v>5.1999999999999998E-3</v>
          </cell>
          <cell r="N57">
            <v>3.0999999999999999E-3</v>
          </cell>
          <cell r="O57">
            <v>9.0929999999999997E-2</v>
          </cell>
          <cell r="P57">
            <v>3.4396299999999998E-2</v>
          </cell>
          <cell r="Q57">
            <v>185848</v>
          </cell>
          <cell r="R57">
            <v>0.44330000000000003</v>
          </cell>
          <cell r="S57">
            <v>7.3000000000000001E-3</v>
          </cell>
          <cell r="T57">
            <v>3.3E-3</v>
          </cell>
          <cell r="U57">
            <v>2.6419999999999999E-2</v>
          </cell>
          <cell r="V57">
            <v>0.1477996</v>
          </cell>
        </row>
        <row r="58">
          <cell r="B58" t="str">
            <v>rs1715919</v>
          </cell>
          <cell r="C58">
            <v>15</v>
          </cell>
          <cell r="D58">
            <v>56756285</v>
          </cell>
          <cell r="E58" t="str">
            <v>MNS1</v>
          </cell>
          <cell r="F58" t="str">
            <v>Q55P</v>
          </cell>
          <cell r="G58" t="str">
            <v>yes</v>
          </cell>
          <cell r="H58" t="str">
            <v>G</v>
          </cell>
          <cell r="I58" t="str">
            <v>T</v>
          </cell>
          <cell r="K58">
            <v>226632</v>
          </cell>
          <cell r="L58">
            <v>9.3100000000000002E-2</v>
          </cell>
          <cell r="M58">
            <v>1.4500000000000001E-2</v>
          </cell>
          <cell r="N58">
            <v>5.1000000000000004E-3</v>
          </cell>
          <cell r="O58">
            <v>4.4980000000000003E-3</v>
          </cell>
          <cell r="P58">
            <v>2.7159900000000001E-2</v>
          </cell>
          <cell r="Q58">
            <v>193370</v>
          </cell>
          <cell r="R58">
            <v>9.9099999999999994E-2</v>
          </cell>
          <cell r="S58">
            <v>1.6E-2</v>
          </cell>
          <cell r="T58">
            <v>5.3E-3</v>
          </cell>
          <cell r="U58">
            <v>2.6870000000000002E-3</v>
          </cell>
          <cell r="V58">
            <v>6.5767099999999995E-2</v>
          </cell>
        </row>
        <row r="59">
          <cell r="B59" t="str">
            <v>rs3810818</v>
          </cell>
          <cell r="C59">
            <v>16</v>
          </cell>
          <cell r="D59">
            <v>4432029</v>
          </cell>
          <cell r="E59" t="str">
            <v>VASN</v>
          </cell>
          <cell r="F59" t="str">
            <v>E384A</v>
          </cell>
          <cell r="H59" t="str">
            <v>A</v>
          </cell>
          <cell r="I59" t="str">
            <v>C</v>
          </cell>
          <cell r="K59">
            <v>207400</v>
          </cell>
          <cell r="L59">
            <v>0.23369999999999999</v>
          </cell>
          <cell r="M59">
            <v>1.34E-2</v>
          </cell>
          <cell r="N59">
            <v>3.7000000000000002E-3</v>
          </cell>
          <cell r="O59">
            <v>2.5839999999999999E-4</v>
          </cell>
          <cell r="P59">
            <v>0.32585209999999998</v>
          </cell>
          <cell r="Q59">
            <v>191078</v>
          </cell>
          <cell r="R59">
            <v>0.2243</v>
          </cell>
          <cell r="S59">
            <v>1.3599999999999999E-2</v>
          </cell>
          <cell r="T59">
            <v>3.8999999999999998E-3</v>
          </cell>
          <cell r="U59">
            <v>4.394E-4</v>
          </cell>
          <cell r="V59">
            <v>0.43192409999999998</v>
          </cell>
        </row>
        <row r="60">
          <cell r="B60" t="str">
            <v>rs3747579</v>
          </cell>
          <cell r="C60">
            <v>16</v>
          </cell>
          <cell r="D60">
            <v>4445327</v>
          </cell>
          <cell r="E60" t="str">
            <v>CORO7</v>
          </cell>
          <cell r="F60" t="str">
            <v>R193Q</v>
          </cell>
          <cell r="H60" t="str">
            <v>C</v>
          </cell>
          <cell r="I60" t="str">
            <v>T</v>
          </cell>
          <cell r="K60">
            <v>208838</v>
          </cell>
          <cell r="L60">
            <v>0.29749999999999999</v>
          </cell>
          <cell r="M60">
            <v>1.26E-2</v>
          </cell>
          <cell r="N60">
            <v>3.3999999999999998E-3</v>
          </cell>
          <cell r="O60">
            <v>2.2369999999999999E-4</v>
          </cell>
          <cell r="P60">
            <v>4.3266300000000001E-2</v>
          </cell>
          <cell r="Q60">
            <v>192215</v>
          </cell>
          <cell r="R60">
            <v>0.27910000000000001</v>
          </cell>
          <cell r="S60">
            <v>1.2800000000000001E-2</v>
          </cell>
          <cell r="T60">
            <v>3.5999999999999999E-3</v>
          </cell>
          <cell r="U60">
            <v>3.3060000000000001E-4</v>
          </cell>
          <cell r="V60">
            <v>4.8309900000000003E-2</v>
          </cell>
        </row>
        <row r="61">
          <cell r="B61" t="str">
            <v>rs1139653</v>
          </cell>
          <cell r="C61">
            <v>16</v>
          </cell>
          <cell r="D61">
            <v>4484396</v>
          </cell>
          <cell r="E61" t="str">
            <v>DNAJA3</v>
          </cell>
          <cell r="F61" t="str">
            <v>N75Y</v>
          </cell>
          <cell r="H61" t="str">
            <v>A</v>
          </cell>
          <cell r="I61" t="str">
            <v>T</v>
          </cell>
          <cell r="K61">
            <v>197716</v>
          </cell>
          <cell r="L61">
            <v>0.28620000000000001</v>
          </cell>
          <cell r="M61">
            <v>1.15E-2</v>
          </cell>
          <cell r="N61">
            <v>3.5000000000000001E-3</v>
          </cell>
          <cell r="O61">
            <v>1.0560000000000001E-3</v>
          </cell>
          <cell r="P61">
            <v>0.14241229999999999</v>
          </cell>
          <cell r="Q61">
            <v>181093</v>
          </cell>
          <cell r="R61">
            <v>0.27679999999999999</v>
          </cell>
          <cell r="S61">
            <v>1.3299999999999999E-2</v>
          </cell>
          <cell r="T61">
            <v>3.7000000000000002E-3</v>
          </cell>
          <cell r="U61">
            <v>3.3139999999999998E-4</v>
          </cell>
          <cell r="V61">
            <v>0.26770949999999999</v>
          </cell>
        </row>
        <row r="62">
          <cell r="B62" t="str">
            <v>rs1800069</v>
          </cell>
          <cell r="C62">
            <v>16</v>
          </cell>
          <cell r="D62">
            <v>14041570</v>
          </cell>
          <cell r="E62" t="str">
            <v>ERCC4</v>
          </cell>
          <cell r="F62" t="str">
            <v>I706T</v>
          </cell>
          <cell r="H62" t="str">
            <v>T</v>
          </cell>
          <cell r="I62" t="str">
            <v>C</v>
          </cell>
          <cell r="K62">
            <v>221869</v>
          </cell>
          <cell r="L62">
            <v>0.99590000000000001</v>
          </cell>
          <cell r="M62">
            <v>-4.4699999999999997E-2</v>
          </cell>
          <cell r="N62">
            <v>0.1115</v>
          </cell>
          <cell r="O62">
            <v>0.68840000000000001</v>
          </cell>
          <cell r="P62">
            <v>0.49325219999999997</v>
          </cell>
          <cell r="Q62">
            <v>188607</v>
          </cell>
          <cell r="R62">
            <v>0.99590000000000001</v>
          </cell>
          <cell r="S62">
            <v>-4.4699999999999997E-2</v>
          </cell>
          <cell r="T62">
            <v>0.1115</v>
          </cell>
          <cell r="U62">
            <v>0.68840000000000001</v>
          </cell>
          <cell r="V62">
            <v>0.49325219999999997</v>
          </cell>
        </row>
        <row r="63">
          <cell r="B63" t="str">
            <v>rs9922085</v>
          </cell>
          <cell r="C63">
            <v>16</v>
          </cell>
          <cell r="D63">
            <v>67397580</v>
          </cell>
          <cell r="E63" t="str">
            <v>LRRC36</v>
          </cell>
          <cell r="F63" t="str">
            <v>R101P</v>
          </cell>
          <cell r="H63" t="str">
            <v>G</v>
          </cell>
          <cell r="I63" t="str">
            <v>C</v>
          </cell>
          <cell r="K63">
            <v>223357</v>
          </cell>
          <cell r="L63">
            <v>0.9425</v>
          </cell>
          <cell r="M63">
            <v>3.2099999999999997E-2</v>
          </cell>
          <cell r="N63">
            <v>6.7000000000000002E-3</v>
          </cell>
          <cell r="O63">
            <v>1.6199999999999999E-6</v>
          </cell>
          <cell r="P63">
            <v>0.58924319999999997</v>
          </cell>
          <cell r="Q63">
            <v>190095</v>
          </cell>
          <cell r="R63">
            <v>0.95640000000000003</v>
          </cell>
          <cell r="S63">
            <v>2.92E-2</v>
          </cell>
          <cell r="T63">
            <v>7.9000000000000008E-3</v>
          </cell>
          <cell r="U63">
            <v>2.143E-4</v>
          </cell>
          <cell r="V63">
            <v>0.19196240000000001</v>
          </cell>
        </row>
        <row r="64">
          <cell r="B64" t="str">
            <v>rs8052655</v>
          </cell>
          <cell r="C64">
            <v>16</v>
          </cell>
          <cell r="D64">
            <v>67409180</v>
          </cell>
          <cell r="E64" t="str">
            <v>LRRC36</v>
          </cell>
          <cell r="F64" t="str">
            <v>G388S</v>
          </cell>
          <cell r="H64" t="str">
            <v>G</v>
          </cell>
          <cell r="I64" t="str">
            <v>A</v>
          </cell>
          <cell r="K64">
            <v>225505</v>
          </cell>
          <cell r="L64">
            <v>0.94269999999999998</v>
          </cell>
          <cell r="M64">
            <v>3.0300000000000001E-2</v>
          </cell>
          <cell r="N64">
            <v>6.7000000000000002E-3</v>
          </cell>
          <cell r="O64">
            <v>5.8000000000000004E-6</v>
          </cell>
          <cell r="P64">
            <v>0.39962239999999999</v>
          </cell>
          <cell r="Q64">
            <v>192243</v>
          </cell>
          <cell r="R64">
            <v>0.95660000000000001</v>
          </cell>
          <cell r="S64">
            <v>2.64E-2</v>
          </cell>
          <cell r="T64">
            <v>7.9000000000000008E-3</v>
          </cell>
          <cell r="U64">
            <v>7.8080000000000001E-4</v>
          </cell>
          <cell r="V64">
            <v>9.7632099999999999E-2</v>
          </cell>
        </row>
        <row r="65">
          <cell r="B65" t="str">
            <v>rs897453</v>
          </cell>
          <cell r="C65">
            <v>17</v>
          </cell>
          <cell r="D65">
            <v>17425631</v>
          </cell>
          <cell r="E65" t="str">
            <v>PEMT</v>
          </cell>
          <cell r="F65" t="str">
            <v>V58L</v>
          </cell>
          <cell r="H65" t="str">
            <v>C</v>
          </cell>
          <cell r="I65" t="str">
            <v>T</v>
          </cell>
          <cell r="K65">
            <v>226756</v>
          </cell>
          <cell r="L65">
            <v>0.57509999999999994</v>
          </cell>
          <cell r="M65">
            <v>2.6200000000000001E-2</v>
          </cell>
          <cell r="N65">
            <v>5.4000000000000003E-3</v>
          </cell>
          <cell r="O65">
            <v>1.2899999999999999E-6</v>
          </cell>
          <cell r="P65">
            <v>0.81918690000000005</v>
          </cell>
          <cell r="Q65">
            <v>193494</v>
          </cell>
          <cell r="R65">
            <v>0.53949999999999998</v>
          </cell>
          <cell r="S65">
            <v>2.7099999999999999E-2</v>
          </cell>
          <cell r="T65">
            <v>5.4999999999999997E-3</v>
          </cell>
          <cell r="U65">
            <v>9.6899999999999996E-7</v>
          </cell>
          <cell r="V65">
            <v>0.78166530000000001</v>
          </cell>
        </row>
        <row r="66">
          <cell r="B66" t="str">
            <v>rs201010410</v>
          </cell>
          <cell r="C66">
            <v>19</v>
          </cell>
          <cell r="D66">
            <v>422171</v>
          </cell>
          <cell r="E66" t="str">
            <v>SHC2</v>
          </cell>
          <cell r="F66" t="str">
            <v>L532R</v>
          </cell>
          <cell r="H66" t="str">
            <v>C</v>
          </cell>
          <cell r="I66" t="str">
            <v>A</v>
          </cell>
          <cell r="K66">
            <v>90264</v>
          </cell>
          <cell r="L66">
            <v>6.9999999999999999E-4</v>
          </cell>
          <cell r="M66">
            <v>0.33129999999999998</v>
          </cell>
          <cell r="N66">
            <v>9.0499999999999997E-2</v>
          </cell>
          <cell r="O66">
            <v>2.522E-4</v>
          </cell>
          <cell r="P66">
            <v>0.53194810000000003</v>
          </cell>
          <cell r="Q66">
            <v>61587</v>
          </cell>
          <cell r="R66">
            <v>1E-3</v>
          </cell>
          <cell r="S66">
            <v>0.33090000000000003</v>
          </cell>
          <cell r="T66">
            <v>9.11E-2</v>
          </cell>
          <cell r="U66">
            <v>2.8039999999999999E-4</v>
          </cell>
          <cell r="V66">
            <v>0.56493499999999996</v>
          </cell>
        </row>
        <row r="67">
          <cell r="B67" t="str">
            <v>rs116843064</v>
          </cell>
          <cell r="C67">
            <v>19</v>
          </cell>
          <cell r="D67">
            <v>8429323</v>
          </cell>
          <cell r="E67" t="str">
            <v>ANGPTL4</v>
          </cell>
          <cell r="F67" t="str">
            <v>E40K</v>
          </cell>
          <cell r="H67" t="str">
            <v>G</v>
          </cell>
          <cell r="I67" t="str">
            <v>A</v>
          </cell>
          <cell r="K67">
            <v>203098</v>
          </cell>
          <cell r="L67">
            <v>0.98050000000000004</v>
          </cell>
          <cell r="M67">
            <v>-1.6799999999999999E-2</v>
          </cell>
          <cell r="N67">
            <v>1.1299999999999999E-2</v>
          </cell>
          <cell r="O67">
            <v>0.13780000000000001</v>
          </cell>
          <cell r="P67">
            <v>1.3199999999999999E-7</v>
          </cell>
          <cell r="Q67">
            <v>187536</v>
          </cell>
          <cell r="R67">
            <v>0.97909999999999997</v>
          </cell>
          <cell r="S67">
            <v>-1.6400000000000001E-2</v>
          </cell>
          <cell r="T67">
            <v>1.14E-2</v>
          </cell>
          <cell r="U67">
            <v>0.15129999999999999</v>
          </cell>
          <cell r="V67">
            <v>1.1000000000000001E-7</v>
          </cell>
        </row>
        <row r="68">
          <cell r="B68" t="str">
            <v>rs11554159</v>
          </cell>
          <cell r="C68">
            <v>19</v>
          </cell>
          <cell r="D68">
            <v>18285944</v>
          </cell>
          <cell r="E68" t="str">
            <v>IFI30</v>
          </cell>
          <cell r="F68" t="str">
            <v>R76Q</v>
          </cell>
          <cell r="G68" t="str">
            <v>yes</v>
          </cell>
          <cell r="H68" t="str">
            <v>A</v>
          </cell>
          <cell r="I68" t="str">
            <v>G</v>
          </cell>
          <cell r="K68">
            <v>226673</v>
          </cell>
          <cell r="L68">
            <v>0.25459999999999999</v>
          </cell>
          <cell r="M68">
            <v>8.0000000000000002E-3</v>
          </cell>
          <cell r="N68">
            <v>3.3999999999999998E-3</v>
          </cell>
          <cell r="O68">
            <v>1.8599999999999998E-2</v>
          </cell>
          <cell r="P68">
            <v>3.1164999999999999E-3</v>
          </cell>
          <cell r="Q68">
            <v>193411</v>
          </cell>
          <cell r="R68">
            <v>0.26540000000000002</v>
          </cell>
          <cell r="S68">
            <v>7.4000000000000003E-3</v>
          </cell>
          <cell r="T68">
            <v>3.5999999999999999E-3</v>
          </cell>
          <cell r="U68">
            <v>4.1669999999999999E-2</v>
          </cell>
          <cell r="V68">
            <v>1.3169E-3</v>
          </cell>
        </row>
        <row r="69">
          <cell r="B69" t="str">
            <v>rs874628</v>
          </cell>
          <cell r="C69">
            <v>19</v>
          </cell>
          <cell r="D69">
            <v>18304700</v>
          </cell>
          <cell r="E69" t="str">
            <v>MPV17L2</v>
          </cell>
          <cell r="F69" t="str">
            <v>M72V</v>
          </cell>
          <cell r="G69" t="str">
            <v>yes</v>
          </cell>
          <cell r="H69" t="str">
            <v>G</v>
          </cell>
          <cell r="I69" t="str">
            <v>A</v>
          </cell>
          <cell r="K69">
            <v>226677</v>
          </cell>
          <cell r="L69">
            <v>0.2681</v>
          </cell>
          <cell r="M69">
            <v>8.0999999999999996E-3</v>
          </cell>
          <cell r="N69">
            <v>3.3E-3</v>
          </cell>
          <cell r="O69">
            <v>1.6029999999999999E-2</v>
          </cell>
          <cell r="P69">
            <v>2.4946999999999999E-3</v>
          </cell>
          <cell r="Q69">
            <v>193415</v>
          </cell>
          <cell r="R69">
            <v>0.28129999999999999</v>
          </cell>
          <cell r="S69">
            <v>7.6E-3</v>
          </cell>
          <cell r="T69">
            <v>3.5999999999999999E-3</v>
          </cell>
          <cell r="U69">
            <v>3.209E-2</v>
          </cell>
          <cell r="V69">
            <v>1.8418E-3</v>
          </cell>
        </row>
        <row r="70">
          <cell r="B70" t="str">
            <v>rs2287922</v>
          </cell>
          <cell r="C70">
            <v>19</v>
          </cell>
          <cell r="D70">
            <v>49232226</v>
          </cell>
          <cell r="E70" t="str">
            <v>RASIP1</v>
          </cell>
          <cell r="F70" t="str">
            <v>R601C</v>
          </cell>
          <cell r="H70" t="str">
            <v>A</v>
          </cell>
          <cell r="I70" t="str">
            <v>G</v>
          </cell>
          <cell r="K70">
            <v>194971</v>
          </cell>
          <cell r="L70">
            <v>0.4894</v>
          </cell>
          <cell r="M70">
            <v>9.1999999999999998E-3</v>
          </cell>
          <cell r="N70">
            <v>3.2000000000000002E-3</v>
          </cell>
          <cell r="O70">
            <v>4.4619999999999998E-3</v>
          </cell>
          <cell r="P70">
            <v>3.7383899999999998E-2</v>
          </cell>
          <cell r="Q70">
            <v>181135</v>
          </cell>
          <cell r="R70">
            <v>0.50929999999999997</v>
          </cell>
          <cell r="S70">
            <v>7.7999999999999996E-3</v>
          </cell>
          <cell r="T70">
            <v>3.3E-3</v>
          </cell>
          <cell r="U70">
            <v>1.8790000000000001E-2</v>
          </cell>
          <cell r="V70">
            <v>1.7865800000000001E-2</v>
          </cell>
        </row>
        <row r="71">
          <cell r="B71" t="str">
            <v>rs2307019</v>
          </cell>
          <cell r="C71">
            <v>19</v>
          </cell>
          <cell r="D71">
            <v>49244220</v>
          </cell>
          <cell r="E71" t="str">
            <v>IZUMO1</v>
          </cell>
          <cell r="F71" t="str">
            <v>A333V</v>
          </cell>
          <cell r="H71" t="str">
            <v>G</v>
          </cell>
          <cell r="I71" t="str">
            <v>A</v>
          </cell>
          <cell r="K71">
            <v>226573</v>
          </cell>
          <cell r="L71">
            <v>0.55549999999999999</v>
          </cell>
          <cell r="M71">
            <v>7.3000000000000001E-3</v>
          </cell>
          <cell r="N71">
            <v>3.0000000000000001E-3</v>
          </cell>
          <cell r="O71">
            <v>1.4760000000000001E-2</v>
          </cell>
          <cell r="P71">
            <v>3.8723899999999999E-2</v>
          </cell>
          <cell r="Q71">
            <v>193311</v>
          </cell>
          <cell r="R71">
            <v>0.56299999999999994</v>
          </cell>
          <cell r="S71">
            <v>7.7999999999999996E-3</v>
          </cell>
          <cell r="T71">
            <v>3.2000000000000002E-3</v>
          </cell>
          <cell r="U71">
            <v>1.499E-2</v>
          </cell>
          <cell r="V71">
            <v>3.5363400000000003E-2</v>
          </cell>
        </row>
        <row r="72">
          <cell r="B72" t="str">
            <v>rs4911494</v>
          </cell>
          <cell r="C72">
            <v>20</v>
          </cell>
          <cell r="D72">
            <v>33971914</v>
          </cell>
          <cell r="E72" t="str">
            <v>UQCC1</v>
          </cell>
          <cell r="F72" t="str">
            <v>R51Q</v>
          </cell>
          <cell r="G72" t="str">
            <v>yes</v>
          </cell>
          <cell r="H72" t="str">
            <v>T</v>
          </cell>
          <cell r="I72" t="str">
            <v>C</v>
          </cell>
          <cell r="K72">
            <v>226655</v>
          </cell>
          <cell r="L72">
            <v>0.5948</v>
          </cell>
          <cell r="M72">
            <v>2.5000000000000001E-2</v>
          </cell>
          <cell r="N72">
            <v>3.0999999999999999E-3</v>
          </cell>
          <cell r="O72">
            <v>3.1700000000000002E-16</v>
          </cell>
          <cell r="P72">
            <v>1.5372000000000001E-3</v>
          </cell>
          <cell r="Q72">
            <v>193393</v>
          </cell>
          <cell r="R72">
            <v>0.61639999999999995</v>
          </cell>
          <cell r="S72">
            <v>2.53E-2</v>
          </cell>
          <cell r="T72">
            <v>3.3E-3</v>
          </cell>
          <cell r="U72">
            <v>2.64E-14</v>
          </cell>
          <cell r="V72">
            <v>9.0370000000000001E-4</v>
          </cell>
        </row>
        <row r="73">
          <cell r="B73" t="str">
            <v>rs224331</v>
          </cell>
          <cell r="C73">
            <v>20</v>
          </cell>
          <cell r="D73">
            <v>34022387</v>
          </cell>
          <cell r="E73" t="str">
            <v>GDF5</v>
          </cell>
          <cell r="F73" t="str">
            <v>S276A</v>
          </cell>
          <cell r="G73" t="str">
            <v>yes</v>
          </cell>
          <cell r="H73" t="str">
            <v>A</v>
          </cell>
          <cell r="I73" t="str">
            <v>C</v>
          </cell>
          <cell r="K73">
            <v>167536</v>
          </cell>
          <cell r="L73">
            <v>0.64059999999999995</v>
          </cell>
          <cell r="M73">
            <v>2.47E-2</v>
          </cell>
          <cell r="N73">
            <v>3.5999999999999999E-3</v>
          </cell>
          <cell r="O73">
            <v>5.6199999999999999E-12</v>
          </cell>
          <cell r="P73">
            <v>3.1757999999999999E-3</v>
          </cell>
          <cell r="Q73">
            <v>153595</v>
          </cell>
          <cell r="R73">
            <v>0.64480000000000004</v>
          </cell>
          <cell r="S73">
            <v>2.4E-2</v>
          </cell>
          <cell r="T73">
            <v>3.8E-3</v>
          </cell>
          <cell r="U73">
            <v>1.5999999999999999E-10</v>
          </cell>
          <cell r="V73">
            <v>1.19525E-2</v>
          </cell>
        </row>
        <row r="74">
          <cell r="B74" t="str">
            <v>rs144098855</v>
          </cell>
          <cell r="C74">
            <v>20</v>
          </cell>
          <cell r="D74">
            <v>42965811</v>
          </cell>
          <cell r="E74" t="str">
            <v>R3HDML</v>
          </cell>
          <cell r="F74" t="str">
            <v>P5L</v>
          </cell>
          <cell r="H74" t="str">
            <v>T</v>
          </cell>
          <cell r="I74" t="str">
            <v>C</v>
          </cell>
          <cell r="K74">
            <v>201752</v>
          </cell>
          <cell r="L74">
            <v>2E-3</v>
          </cell>
          <cell r="M74">
            <v>0.1709</v>
          </cell>
          <cell r="N74">
            <v>4.0300000000000002E-2</v>
          </cell>
          <cell r="O74">
            <v>2.1699999999999999E-5</v>
          </cell>
          <cell r="P74">
            <v>0.99760769999999999</v>
          </cell>
          <cell r="Q74">
            <v>171455</v>
          </cell>
          <cell r="R74">
            <v>2.5999999999999999E-3</v>
          </cell>
          <cell r="S74">
            <v>0.17119999999999999</v>
          </cell>
          <cell r="T74">
            <v>4.0300000000000002E-2</v>
          </cell>
          <cell r="U74">
            <v>2.1399999999999998E-5</v>
          </cell>
          <cell r="V74">
            <v>0.96775169999999999</v>
          </cell>
        </row>
      </sheetData>
      <sheetData sheetId="9">
        <row r="4">
          <cell r="B4" t="str">
            <v>rsID</v>
          </cell>
          <cell r="C4" t="str">
            <v>Chr</v>
          </cell>
          <cell r="D4" t="str">
            <v>Position (GRCh37)b</v>
          </cell>
          <cell r="E4" t="str">
            <v>Genec</v>
          </cell>
          <cell r="F4" t="str">
            <v>Amino Acid changec</v>
          </cell>
          <cell r="G4" t="str">
            <v>Known locusd</v>
          </cell>
          <cell r="H4" t="str">
            <v>Effect (WHRadjBMI increasing) Allele</v>
          </cell>
          <cell r="I4" t="str">
            <v>Other Allele</v>
          </cell>
          <cell r="K4" t="str">
            <v>N</v>
          </cell>
          <cell r="L4" t="str">
            <v>Effect Allele Frequency</v>
          </cell>
          <cell r="M4" t="str">
            <v>Effect sizee (SD/allele)</v>
          </cell>
          <cell r="N4" t="str">
            <v>SE</v>
          </cell>
          <cell r="O4" t="str">
            <v>P-value</v>
          </cell>
          <cell r="P4" t="str">
            <v>Pvalue for Sex-heterogeneityf</v>
          </cell>
          <cell r="Q4" t="str">
            <v>N</v>
          </cell>
          <cell r="R4" t="str">
            <v>Effect Allele Frequency</v>
          </cell>
          <cell r="S4" t="str">
            <v>Effect sizee (SD/allele)</v>
          </cell>
          <cell r="T4" t="str">
            <v>SE</v>
          </cell>
          <cell r="U4" t="str">
            <v>P-value</v>
          </cell>
          <cell r="V4" t="str">
            <v>Pvalue for Sex-heterogeneityf</v>
          </cell>
        </row>
        <row r="5">
          <cell r="B5" t="str">
            <v>rs7537203</v>
          </cell>
          <cell r="C5">
            <v>1</v>
          </cell>
          <cell r="D5">
            <v>36225948</v>
          </cell>
          <cell r="E5" t="str">
            <v>CLSPN</v>
          </cell>
          <cell r="F5" t="str">
            <v>N525S</v>
          </cell>
          <cell r="H5" t="str">
            <v>C</v>
          </cell>
          <cell r="I5" t="str">
            <v>T</v>
          </cell>
          <cell r="K5">
            <v>168395</v>
          </cell>
          <cell r="L5">
            <v>0.14960000000000001</v>
          </cell>
          <cell r="M5">
            <v>1.6500000000000001E-2</v>
          </cell>
          <cell r="N5">
            <v>5.1999999999999998E-3</v>
          </cell>
          <cell r="O5">
            <v>1.32E-3</v>
          </cell>
          <cell r="P5">
            <v>0.87311209999999995</v>
          </cell>
          <cell r="Q5">
            <v>154991</v>
          </cell>
          <cell r="R5">
            <v>0.1236</v>
          </cell>
          <cell r="S5">
            <v>1.7899999999999999E-2</v>
          </cell>
          <cell r="T5">
            <v>5.5999999999999999E-3</v>
          </cell>
          <cell r="U5">
            <v>1.268E-3</v>
          </cell>
          <cell r="V5">
            <v>0.83430820000000006</v>
          </cell>
        </row>
        <row r="6">
          <cell r="B6" t="str">
            <v>rs61730011</v>
          </cell>
          <cell r="C6">
            <v>1</v>
          </cell>
          <cell r="D6">
            <v>119427467</v>
          </cell>
          <cell r="E6" t="str">
            <v>TBX15</v>
          </cell>
          <cell r="F6" t="str">
            <v>M566R</v>
          </cell>
          <cell r="G6" t="str">
            <v>yes</v>
          </cell>
          <cell r="H6" t="str">
            <v>A</v>
          </cell>
          <cell r="I6" t="str">
            <v>C</v>
          </cell>
          <cell r="K6">
            <v>240936</v>
          </cell>
          <cell r="L6">
            <v>0.95679999999999998</v>
          </cell>
          <cell r="M6">
            <v>4.2700000000000002E-2</v>
          </cell>
          <cell r="N6">
            <v>7.1999999999999998E-3</v>
          </cell>
          <cell r="O6">
            <v>2.6200000000000001E-9</v>
          </cell>
          <cell r="P6">
            <v>0.66914249999999997</v>
          </cell>
          <cell r="Q6">
            <v>222985</v>
          </cell>
          <cell r="R6">
            <v>0.95469999999999999</v>
          </cell>
          <cell r="S6">
            <v>4.24E-2</v>
          </cell>
          <cell r="T6">
            <v>7.3000000000000001E-3</v>
          </cell>
          <cell r="U6">
            <v>5.7200000000000001E-9</v>
          </cell>
          <cell r="V6">
            <v>0.49392930000000002</v>
          </cell>
        </row>
        <row r="7">
          <cell r="B7" t="str">
            <v>rs10494217</v>
          </cell>
          <cell r="C7">
            <v>1</v>
          </cell>
          <cell r="D7">
            <v>119469188</v>
          </cell>
          <cell r="E7" t="str">
            <v>TBX15</v>
          </cell>
          <cell r="F7" t="str">
            <v>H156N</v>
          </cell>
          <cell r="G7" t="str">
            <v>yes</v>
          </cell>
          <cell r="H7" t="str">
            <v>T</v>
          </cell>
          <cell r="I7" t="str">
            <v>G</v>
          </cell>
          <cell r="K7">
            <v>247112</v>
          </cell>
          <cell r="L7">
            <v>0.17369999999999999</v>
          </cell>
          <cell r="M7">
            <v>1.9300000000000001E-2</v>
          </cell>
          <cell r="N7">
            <v>3.8999999999999998E-3</v>
          </cell>
          <cell r="O7">
            <v>5.5400000000000001E-7</v>
          </cell>
          <cell r="P7">
            <v>0.59609250000000003</v>
          </cell>
          <cell r="Q7">
            <v>226274</v>
          </cell>
          <cell r="R7">
            <v>0.1837</v>
          </cell>
          <cell r="S7">
            <v>1.9800000000000002E-2</v>
          </cell>
          <cell r="T7">
            <v>3.8999999999999998E-3</v>
          </cell>
          <cell r="U7">
            <v>4.1100000000000001E-7</v>
          </cell>
          <cell r="V7">
            <v>0.52132149999999999</v>
          </cell>
        </row>
        <row r="8">
          <cell r="B8" t="str">
            <v>rs141845046</v>
          </cell>
          <cell r="C8">
            <v>1</v>
          </cell>
          <cell r="D8">
            <v>154987704</v>
          </cell>
          <cell r="E8" t="str">
            <v>ZBTB7B</v>
          </cell>
          <cell r="F8" t="str">
            <v>P190S</v>
          </cell>
          <cell r="G8" t="str">
            <v>yes</v>
          </cell>
          <cell r="H8" t="str">
            <v>C</v>
          </cell>
          <cell r="I8" t="str">
            <v>T</v>
          </cell>
          <cell r="K8">
            <v>250084</v>
          </cell>
          <cell r="L8">
            <v>0.97719999999999996</v>
          </cell>
          <cell r="M8">
            <v>7.0300000000000001E-2</v>
          </cell>
          <cell r="N8">
            <v>9.5999999999999992E-3</v>
          </cell>
          <cell r="O8">
            <v>2.3400000000000001E-13</v>
          </cell>
          <cell r="P8">
            <v>7.9100000000000003E-7</v>
          </cell>
          <cell r="Q8">
            <v>227469</v>
          </cell>
          <cell r="R8">
            <v>0.97509999999999997</v>
          </cell>
          <cell r="S8">
            <v>7.0699999999999999E-2</v>
          </cell>
          <cell r="T8">
            <v>9.7000000000000003E-3</v>
          </cell>
          <cell r="U8">
            <v>2.3300000000000002E-13</v>
          </cell>
          <cell r="V8">
            <v>7.6000000000000003E-7</v>
          </cell>
        </row>
        <row r="9">
          <cell r="B9" t="str">
            <v>rs35515638</v>
          </cell>
          <cell r="C9">
            <v>1</v>
          </cell>
          <cell r="D9">
            <v>173802608</v>
          </cell>
          <cell r="E9" t="str">
            <v>DARS2</v>
          </cell>
          <cell r="F9" t="str">
            <v>K196R</v>
          </cell>
          <cell r="H9" t="str">
            <v>G</v>
          </cell>
          <cell r="I9" t="str">
            <v>A</v>
          </cell>
          <cell r="K9">
            <v>211546</v>
          </cell>
          <cell r="L9">
            <v>4.7999999999999996E-3</v>
          </cell>
          <cell r="M9">
            <v>3.3599999999999998E-2</v>
          </cell>
          <cell r="N9">
            <v>2.7900000000000001E-2</v>
          </cell>
          <cell r="O9">
            <v>0.2281</v>
          </cell>
          <cell r="P9">
            <v>8.6594099999999993E-2</v>
          </cell>
          <cell r="Q9">
            <v>192933</v>
          </cell>
          <cell r="R9">
            <v>8.9999999999999998E-4</v>
          </cell>
          <cell r="S9">
            <v>0.1114</v>
          </cell>
          <cell r="T9">
            <v>6.0699999999999997E-2</v>
          </cell>
          <cell r="U9">
            <v>6.6290000000000002E-2</v>
          </cell>
          <cell r="V9">
            <v>6.0161800000000001E-2</v>
          </cell>
        </row>
        <row r="10">
          <cell r="B10" t="str">
            <v>rs3851294</v>
          </cell>
          <cell r="C10">
            <v>1</v>
          </cell>
          <cell r="D10">
            <v>205130413</v>
          </cell>
          <cell r="E10" t="str">
            <v>DSTYK</v>
          </cell>
          <cell r="F10" t="str">
            <v>C641R</v>
          </cell>
          <cell r="H10" t="str">
            <v>G</v>
          </cell>
          <cell r="I10" t="str">
            <v>A</v>
          </cell>
          <cell r="K10">
            <v>249471</v>
          </cell>
          <cell r="L10">
            <v>0.91210000000000002</v>
          </cell>
          <cell r="M10">
            <v>3.3799999999999997E-2</v>
          </cell>
          <cell r="N10">
            <v>5.1000000000000004E-3</v>
          </cell>
          <cell r="O10">
            <v>4.46E-11</v>
          </cell>
          <cell r="P10">
            <v>9.7500000000000006E-8</v>
          </cell>
          <cell r="Q10">
            <v>226856</v>
          </cell>
          <cell r="R10">
            <v>0.90629999999999999</v>
          </cell>
          <cell r="S10">
            <v>3.4500000000000003E-2</v>
          </cell>
          <cell r="T10">
            <v>5.1999999999999998E-3</v>
          </cell>
          <cell r="U10">
            <v>3.9400000000000001E-11</v>
          </cell>
          <cell r="V10">
            <v>3.15E-7</v>
          </cell>
        </row>
        <row r="11">
          <cell r="B11" t="str">
            <v>rs4668909</v>
          </cell>
          <cell r="C11">
            <v>2</v>
          </cell>
          <cell r="D11">
            <v>15607842</v>
          </cell>
          <cell r="E11" t="str">
            <v>NBAS</v>
          </cell>
          <cell r="F11" t="str">
            <v>K655R</v>
          </cell>
          <cell r="H11" t="str">
            <v>C</v>
          </cell>
          <cell r="I11" t="str">
            <v>T</v>
          </cell>
          <cell r="K11">
            <v>237919</v>
          </cell>
          <cell r="L11">
            <v>0.64600000000000002</v>
          </cell>
          <cell r="M11">
            <v>1.49E-2</v>
          </cell>
          <cell r="N11">
            <v>4.4000000000000003E-3</v>
          </cell>
          <cell r="O11">
            <v>6.4959999999999996E-4</v>
          </cell>
          <cell r="P11">
            <v>5.8040799999999997E-2</v>
          </cell>
          <cell r="Q11">
            <v>219194</v>
          </cell>
          <cell r="R11">
            <v>0.67349999999999999</v>
          </cell>
          <cell r="S11">
            <v>1.6299999999999999E-2</v>
          </cell>
          <cell r="T11">
            <v>4.4000000000000003E-3</v>
          </cell>
          <cell r="U11">
            <v>2.4630000000000002E-4</v>
          </cell>
          <cell r="V11">
            <v>3.8759299999999997E-2</v>
          </cell>
        </row>
        <row r="12">
          <cell r="B12" t="str">
            <v>rs55920843</v>
          </cell>
          <cell r="C12">
            <v>2</v>
          </cell>
          <cell r="D12">
            <v>158412701</v>
          </cell>
          <cell r="E12" t="str">
            <v>ACVR1C</v>
          </cell>
          <cell r="F12" t="str">
            <v>N150H</v>
          </cell>
          <cell r="H12" t="str">
            <v>T</v>
          </cell>
          <cell r="I12" t="str">
            <v>G</v>
          </cell>
          <cell r="K12">
            <v>245808</v>
          </cell>
          <cell r="L12">
            <v>0.98880000000000001</v>
          </cell>
          <cell r="M12">
            <v>0.1134</v>
          </cell>
          <cell r="N12">
            <v>1.4200000000000001E-2</v>
          </cell>
          <cell r="O12">
            <v>1.6800000000000001E-15</v>
          </cell>
          <cell r="P12">
            <v>1.7100000000000001E-7</v>
          </cell>
          <cell r="Q12">
            <v>227474</v>
          </cell>
          <cell r="R12">
            <v>0.98829999999999996</v>
          </cell>
          <cell r="S12">
            <v>0.10920000000000001</v>
          </cell>
          <cell r="T12">
            <v>1.43E-2</v>
          </cell>
          <cell r="U12">
            <v>2.68E-14</v>
          </cell>
          <cell r="V12">
            <v>8.1900000000000001E-7</v>
          </cell>
        </row>
        <row r="13">
          <cell r="B13" t="str">
            <v>rs7607980</v>
          </cell>
          <cell r="C13">
            <v>2</v>
          </cell>
          <cell r="D13">
            <v>165551201</v>
          </cell>
          <cell r="E13" t="str">
            <v>COBLL1</v>
          </cell>
          <cell r="F13" t="str">
            <v>N941D</v>
          </cell>
          <cell r="G13" t="str">
            <v>yes</v>
          </cell>
          <cell r="H13" t="str">
            <v>T</v>
          </cell>
          <cell r="I13" t="str">
            <v>C</v>
          </cell>
          <cell r="K13">
            <v>216636</v>
          </cell>
          <cell r="L13">
            <v>0.87809999999999999</v>
          </cell>
          <cell r="M13">
            <v>6.2300000000000001E-2</v>
          </cell>
          <cell r="N13">
            <v>4.7999999999999996E-3</v>
          </cell>
          <cell r="O13">
            <v>6.6899999999999997E-39</v>
          </cell>
          <cell r="P13">
            <v>3.010203E-30</v>
          </cell>
          <cell r="Q13">
            <v>199252</v>
          </cell>
          <cell r="R13">
            <v>0.87739999999999996</v>
          </cell>
          <cell r="S13">
            <v>6.3399999999999998E-2</v>
          </cell>
          <cell r="T13">
            <v>5.0000000000000001E-3</v>
          </cell>
          <cell r="U13">
            <v>2.4300000000000001E-37</v>
          </cell>
          <cell r="V13">
            <v>1.7983499999999999E-28</v>
          </cell>
        </row>
        <row r="14">
          <cell r="B14" t="str">
            <v>rs7586970</v>
          </cell>
          <cell r="C14">
            <v>2</v>
          </cell>
          <cell r="D14">
            <v>188343497</v>
          </cell>
          <cell r="E14" t="str">
            <v>TFPI</v>
          </cell>
          <cell r="F14" t="str">
            <v>N221S</v>
          </cell>
          <cell r="G14" t="str">
            <v>yes</v>
          </cell>
          <cell r="H14" t="str">
            <v>T</v>
          </cell>
          <cell r="I14" t="str">
            <v>C</v>
          </cell>
          <cell r="K14">
            <v>238415</v>
          </cell>
          <cell r="L14">
            <v>0.69569999999999999</v>
          </cell>
          <cell r="M14">
            <v>1.77E-2</v>
          </cell>
          <cell r="N14">
            <v>3.2000000000000002E-3</v>
          </cell>
          <cell r="O14">
            <v>5.1499999999999998E-8</v>
          </cell>
          <cell r="P14">
            <v>0.62948689999999996</v>
          </cell>
          <cell r="Q14">
            <v>215800</v>
          </cell>
          <cell r="R14">
            <v>0.69489999999999996</v>
          </cell>
          <cell r="S14">
            <v>0.02</v>
          </cell>
          <cell r="T14">
            <v>3.3999999999999998E-3</v>
          </cell>
          <cell r="U14">
            <v>4.3500000000000001E-9</v>
          </cell>
          <cell r="V14">
            <v>0.79128580000000004</v>
          </cell>
        </row>
        <row r="15">
          <cell r="B15" t="str">
            <v>rs4082155</v>
          </cell>
          <cell r="C15">
            <v>3</v>
          </cell>
          <cell r="D15">
            <v>47125385</v>
          </cell>
          <cell r="E15" t="str">
            <v>SETD2</v>
          </cell>
          <cell r="F15" t="str">
            <v>P1962L</v>
          </cell>
          <cell r="H15" t="str">
            <v>A</v>
          </cell>
          <cell r="I15" t="str">
            <v>G</v>
          </cell>
          <cell r="K15">
            <v>180131</v>
          </cell>
          <cell r="L15">
            <v>0.55630000000000002</v>
          </cell>
          <cell r="M15">
            <v>1.5800000000000002E-2</v>
          </cell>
          <cell r="N15">
            <v>3.5000000000000001E-3</v>
          </cell>
          <cell r="O15">
            <v>8.5699999999999993E-6</v>
          </cell>
          <cell r="P15">
            <v>0.18558140000000001</v>
          </cell>
          <cell r="Q15">
            <v>157516</v>
          </cell>
          <cell r="R15">
            <v>0.5756</v>
          </cell>
          <cell r="S15">
            <v>1.66E-2</v>
          </cell>
          <cell r="T15">
            <v>3.8E-3</v>
          </cell>
          <cell r="U15">
            <v>1.13E-5</v>
          </cell>
          <cell r="V15">
            <v>6.7690299999999995E-2</v>
          </cell>
        </row>
        <row r="16">
          <cell r="B16" t="str">
            <v>rs2276853</v>
          </cell>
          <cell r="C16">
            <v>3</v>
          </cell>
          <cell r="D16">
            <v>47282303</v>
          </cell>
          <cell r="E16" t="str">
            <v>KIF9</v>
          </cell>
          <cell r="F16" t="str">
            <v>R638W</v>
          </cell>
          <cell r="H16" t="str">
            <v>A</v>
          </cell>
          <cell r="I16" t="str">
            <v>G</v>
          </cell>
          <cell r="K16">
            <v>180131</v>
          </cell>
          <cell r="L16">
            <v>0.58940000000000003</v>
          </cell>
          <cell r="M16">
            <v>1.5299999999999999E-2</v>
          </cell>
          <cell r="N16">
            <v>3.5000000000000001E-3</v>
          </cell>
          <cell r="O16">
            <v>1.6099999999999998E-5</v>
          </cell>
          <cell r="P16">
            <v>0.3662861</v>
          </cell>
          <cell r="Q16">
            <v>157516</v>
          </cell>
          <cell r="R16">
            <v>0.59489999999999998</v>
          </cell>
          <cell r="S16">
            <v>1.5599999999999999E-2</v>
          </cell>
          <cell r="T16">
            <v>3.8E-3</v>
          </cell>
          <cell r="U16">
            <v>4.1399999999999997E-5</v>
          </cell>
          <cell r="V16">
            <v>0.20742659999999999</v>
          </cell>
        </row>
        <row r="17">
          <cell r="B17" t="str">
            <v>rs1034405</v>
          </cell>
          <cell r="C17">
            <v>3</v>
          </cell>
          <cell r="D17">
            <v>50597092</v>
          </cell>
          <cell r="E17" t="str">
            <v>C3orf18</v>
          </cell>
          <cell r="F17" t="str">
            <v>A162V</v>
          </cell>
          <cell r="H17" t="str">
            <v>G</v>
          </cell>
          <cell r="I17" t="str">
            <v>A</v>
          </cell>
          <cell r="K17">
            <v>245768</v>
          </cell>
          <cell r="L17">
            <v>0.13650000000000001</v>
          </cell>
          <cell r="M17">
            <v>1.67E-2</v>
          </cell>
          <cell r="N17">
            <v>4.3E-3</v>
          </cell>
          <cell r="O17">
            <v>1.061E-4</v>
          </cell>
          <cell r="P17">
            <v>0.88411050000000002</v>
          </cell>
          <cell r="Q17">
            <v>227434</v>
          </cell>
          <cell r="R17">
            <v>0.1298</v>
          </cell>
          <cell r="S17">
            <v>1.66E-2</v>
          </cell>
          <cell r="T17">
            <v>4.4999999999999997E-3</v>
          </cell>
          <cell r="U17">
            <v>2.5839999999999999E-4</v>
          </cell>
          <cell r="V17">
            <v>0.92594279999999995</v>
          </cell>
        </row>
        <row r="18">
          <cell r="B18" t="str">
            <v>rs13303</v>
          </cell>
          <cell r="C18">
            <v>3</v>
          </cell>
          <cell r="D18">
            <v>52558008</v>
          </cell>
          <cell r="E18" t="str">
            <v>STAB1</v>
          </cell>
          <cell r="F18" t="str">
            <v>M113T</v>
          </cell>
          <cell r="G18" t="str">
            <v>yes</v>
          </cell>
          <cell r="H18" t="str">
            <v>T</v>
          </cell>
          <cell r="I18" t="str">
            <v>C</v>
          </cell>
          <cell r="K18">
            <v>246543</v>
          </cell>
          <cell r="L18">
            <v>0.4365</v>
          </cell>
          <cell r="M18">
            <v>2.2800000000000001E-2</v>
          </cell>
          <cell r="N18">
            <v>3.0000000000000001E-3</v>
          </cell>
          <cell r="O18">
            <v>5.2499999999999997E-14</v>
          </cell>
          <cell r="P18">
            <v>6.73232E-2</v>
          </cell>
          <cell r="Q18">
            <v>224423</v>
          </cell>
          <cell r="R18">
            <v>0.43380000000000002</v>
          </cell>
          <cell r="S18">
            <v>2.4199999999999999E-2</v>
          </cell>
          <cell r="T18">
            <v>3.2000000000000002E-3</v>
          </cell>
          <cell r="U18">
            <v>2.38E-14</v>
          </cell>
          <cell r="V18">
            <v>0.1143533</v>
          </cell>
        </row>
        <row r="19">
          <cell r="B19" t="str">
            <v>rs3617</v>
          </cell>
          <cell r="C19">
            <v>3</v>
          </cell>
          <cell r="D19">
            <v>52833805</v>
          </cell>
          <cell r="E19" t="str">
            <v>ITIH3</v>
          </cell>
          <cell r="F19" t="str">
            <v>Q315K</v>
          </cell>
          <cell r="G19" t="str">
            <v>yes</v>
          </cell>
          <cell r="H19" t="str">
            <v>C</v>
          </cell>
          <cell r="I19" t="str">
            <v>A</v>
          </cell>
          <cell r="K19">
            <v>227045</v>
          </cell>
          <cell r="L19">
            <v>0.53420000000000001</v>
          </cell>
          <cell r="M19">
            <v>1.7500000000000002E-2</v>
          </cell>
          <cell r="N19">
            <v>3.0999999999999999E-3</v>
          </cell>
          <cell r="O19">
            <v>1.7999999999999999E-8</v>
          </cell>
          <cell r="P19">
            <v>0.40022659999999999</v>
          </cell>
          <cell r="Q19">
            <v>204430</v>
          </cell>
          <cell r="R19">
            <v>0.54169999999999996</v>
          </cell>
          <cell r="S19">
            <v>1.8499999999999999E-2</v>
          </cell>
          <cell r="T19">
            <v>3.3E-3</v>
          </cell>
          <cell r="U19">
            <v>1.4100000000000001E-8</v>
          </cell>
          <cell r="V19">
            <v>0.77558009999999999</v>
          </cell>
        </row>
        <row r="20">
          <cell r="B20" t="str">
            <v>rs62266958</v>
          </cell>
          <cell r="C20">
            <v>3</v>
          </cell>
          <cell r="D20">
            <v>129137188</v>
          </cell>
          <cell r="E20" t="str">
            <v>EFCAB12</v>
          </cell>
          <cell r="F20" t="str">
            <v>R197H</v>
          </cell>
          <cell r="G20" t="str">
            <v>yes</v>
          </cell>
          <cell r="H20" t="str">
            <v>C</v>
          </cell>
          <cell r="I20" t="str">
            <v>T</v>
          </cell>
          <cell r="K20">
            <v>250045</v>
          </cell>
          <cell r="L20">
            <v>0.93559999999999999</v>
          </cell>
          <cell r="M20">
            <v>5.0900000000000001E-2</v>
          </cell>
          <cell r="N20">
            <v>5.8999999999999999E-3</v>
          </cell>
          <cell r="O20">
            <v>8.0800000000000001E-18</v>
          </cell>
          <cell r="P20">
            <v>9.31E-5</v>
          </cell>
          <cell r="Q20">
            <v>227430</v>
          </cell>
          <cell r="R20">
            <v>0.93100000000000005</v>
          </cell>
          <cell r="S20">
            <v>5.33E-2</v>
          </cell>
          <cell r="T20">
            <v>6.0000000000000001E-3</v>
          </cell>
          <cell r="U20">
            <v>4.8800000000000002E-19</v>
          </cell>
          <cell r="V20">
            <v>7.8499999999999997E-5</v>
          </cell>
        </row>
        <row r="21">
          <cell r="B21" t="str">
            <v>rs2625973</v>
          </cell>
          <cell r="C21">
            <v>3</v>
          </cell>
          <cell r="D21">
            <v>129284818</v>
          </cell>
          <cell r="E21" t="str">
            <v>PLXND1</v>
          </cell>
          <cell r="F21" t="str">
            <v>L1412V</v>
          </cell>
          <cell r="G21" t="str">
            <v>yes</v>
          </cell>
          <cell r="H21" t="str">
            <v>A</v>
          </cell>
          <cell r="I21" t="str">
            <v>C</v>
          </cell>
          <cell r="K21">
            <v>250023</v>
          </cell>
          <cell r="L21">
            <v>0.72960000000000003</v>
          </cell>
          <cell r="M21">
            <v>2.4799999999999999E-2</v>
          </cell>
          <cell r="N21">
            <v>3.3E-3</v>
          </cell>
          <cell r="O21">
            <v>8.23E-14</v>
          </cell>
          <cell r="P21">
            <v>1.5699999999999999E-5</v>
          </cell>
          <cell r="Q21">
            <v>227426</v>
          </cell>
          <cell r="R21">
            <v>0.72060000000000002</v>
          </cell>
          <cell r="S21">
            <v>2.63E-2</v>
          </cell>
          <cell r="T21">
            <v>3.3999999999999998E-3</v>
          </cell>
          <cell r="U21">
            <v>1.55E-14</v>
          </cell>
          <cell r="V21">
            <v>1.7399999999999999E-5</v>
          </cell>
        </row>
        <row r="22">
          <cell r="B22" t="str">
            <v>rs2255703</v>
          </cell>
          <cell r="C22">
            <v>3</v>
          </cell>
          <cell r="D22">
            <v>129293256</v>
          </cell>
          <cell r="E22" t="str">
            <v>PLXND1</v>
          </cell>
          <cell r="F22" t="str">
            <v>M870V</v>
          </cell>
          <cell r="G22" t="str">
            <v>yes</v>
          </cell>
          <cell r="H22" t="str">
            <v>T</v>
          </cell>
          <cell r="I22" t="str">
            <v>C</v>
          </cell>
          <cell r="K22">
            <v>250069</v>
          </cell>
          <cell r="L22">
            <v>0.60229999999999995</v>
          </cell>
          <cell r="M22">
            <v>1.7999999999999999E-2</v>
          </cell>
          <cell r="N22">
            <v>3.0000000000000001E-3</v>
          </cell>
          <cell r="O22">
            <v>1.9000000000000001E-9</v>
          </cell>
          <cell r="P22">
            <v>4.9819999999999997E-4</v>
          </cell>
          <cell r="Q22">
            <v>227454</v>
          </cell>
          <cell r="R22">
            <v>0.6179</v>
          </cell>
          <cell r="S22">
            <v>2.1299999999999999E-2</v>
          </cell>
          <cell r="T22">
            <v>3.2000000000000002E-3</v>
          </cell>
          <cell r="U22">
            <v>1.44E-11</v>
          </cell>
          <cell r="V22">
            <v>1.6200000000000001E-4</v>
          </cell>
        </row>
        <row r="23">
          <cell r="B23" t="str">
            <v>rs1804080</v>
          </cell>
          <cell r="C23">
            <v>4</v>
          </cell>
          <cell r="D23">
            <v>89625427</v>
          </cell>
          <cell r="E23" t="str">
            <v>HERC3</v>
          </cell>
          <cell r="F23" t="str">
            <v>E946Q</v>
          </cell>
          <cell r="G23" t="str">
            <v>yes</v>
          </cell>
          <cell r="H23" t="str">
            <v>G</v>
          </cell>
          <cell r="I23" t="str">
            <v>C</v>
          </cell>
          <cell r="K23">
            <v>223877</v>
          </cell>
          <cell r="L23">
            <v>0.83730000000000004</v>
          </cell>
          <cell r="M23">
            <v>3.4000000000000002E-2</v>
          </cell>
          <cell r="N23">
            <v>4.1000000000000003E-3</v>
          </cell>
          <cell r="O23">
            <v>2.11E-16</v>
          </cell>
          <cell r="P23">
            <v>4.0799999999999999E-6</v>
          </cell>
          <cell r="Q23">
            <v>201262</v>
          </cell>
          <cell r="R23">
            <v>0.83989999999999998</v>
          </cell>
          <cell r="S23">
            <v>3.44E-2</v>
          </cell>
          <cell r="T23">
            <v>4.4000000000000003E-3</v>
          </cell>
          <cell r="U23">
            <v>5.2600000000000003E-15</v>
          </cell>
          <cell r="V23">
            <v>1.6399999999999999E-5</v>
          </cell>
        </row>
        <row r="24">
          <cell r="B24" t="str">
            <v>rs7657817</v>
          </cell>
          <cell r="C24">
            <v>4</v>
          </cell>
          <cell r="D24">
            <v>89668859</v>
          </cell>
          <cell r="E24" t="str">
            <v>FAM13A</v>
          </cell>
          <cell r="F24" t="str">
            <v>V443I</v>
          </cell>
          <cell r="G24" t="str">
            <v>yes</v>
          </cell>
          <cell r="H24" t="str">
            <v>C</v>
          </cell>
          <cell r="I24" t="str">
            <v>T</v>
          </cell>
          <cell r="K24">
            <v>242970</v>
          </cell>
          <cell r="L24">
            <v>0.81479999999999997</v>
          </cell>
          <cell r="M24">
            <v>2.63E-2</v>
          </cell>
          <cell r="N24">
            <v>3.8E-3</v>
          </cell>
          <cell r="O24">
            <v>5.8699999999999998E-12</v>
          </cell>
          <cell r="P24">
            <v>9.5600000000000006E-5</v>
          </cell>
          <cell r="Q24">
            <v>220355</v>
          </cell>
          <cell r="R24">
            <v>0.82969999999999999</v>
          </cell>
          <cell r="S24">
            <v>2.9399999999999999E-2</v>
          </cell>
          <cell r="T24">
            <v>4.1000000000000003E-3</v>
          </cell>
          <cell r="U24">
            <v>9.01E-13</v>
          </cell>
          <cell r="V24">
            <v>5.4400000000000001E-5</v>
          </cell>
        </row>
        <row r="25">
          <cell r="B25" t="str">
            <v>rs3733526</v>
          </cell>
          <cell r="C25">
            <v>4</v>
          </cell>
          <cell r="D25">
            <v>120528327</v>
          </cell>
          <cell r="E25" t="str">
            <v>PDE5A</v>
          </cell>
          <cell r="F25" t="str">
            <v>A41V</v>
          </cell>
          <cell r="G25" t="str">
            <v>yes</v>
          </cell>
          <cell r="H25" t="str">
            <v>G</v>
          </cell>
          <cell r="I25" t="str">
            <v>A</v>
          </cell>
          <cell r="K25">
            <v>242805</v>
          </cell>
          <cell r="L25">
            <v>0.18779999999999999</v>
          </cell>
          <cell r="M25">
            <v>2.1999999999999999E-2</v>
          </cell>
          <cell r="N25">
            <v>3.8E-3</v>
          </cell>
          <cell r="O25">
            <v>5.21E-9</v>
          </cell>
          <cell r="P25">
            <v>5.1836E-3</v>
          </cell>
          <cell r="Q25">
            <v>220190</v>
          </cell>
          <cell r="R25">
            <v>0.18479999999999999</v>
          </cell>
          <cell r="S25">
            <v>2.3199999999999998E-2</v>
          </cell>
          <cell r="T25">
            <v>4.0000000000000001E-3</v>
          </cell>
          <cell r="U25">
            <v>5.1600000000000004E-9</v>
          </cell>
          <cell r="V25">
            <v>2.85335E-2</v>
          </cell>
        </row>
        <row r="26">
          <cell r="B26" t="str">
            <v>rs1966265</v>
          </cell>
          <cell r="C26">
            <v>5</v>
          </cell>
          <cell r="D26">
            <v>176516631</v>
          </cell>
          <cell r="E26" t="str">
            <v>FGFR4</v>
          </cell>
          <cell r="F26" t="str">
            <v>V10I</v>
          </cell>
          <cell r="G26" t="str">
            <v>yes</v>
          </cell>
          <cell r="H26" t="str">
            <v>A</v>
          </cell>
          <cell r="I26" t="str">
            <v>G</v>
          </cell>
          <cell r="K26">
            <v>245655</v>
          </cell>
          <cell r="L26">
            <v>0.2344</v>
          </cell>
          <cell r="M26">
            <v>1.9800000000000002E-2</v>
          </cell>
          <cell r="N26">
            <v>3.5000000000000001E-3</v>
          </cell>
          <cell r="O26">
            <v>1.14E-8</v>
          </cell>
          <cell r="P26">
            <v>0.20593120000000001</v>
          </cell>
          <cell r="Q26">
            <v>227321</v>
          </cell>
          <cell r="R26">
            <v>0.23780000000000001</v>
          </cell>
          <cell r="S26">
            <v>1.8800000000000001E-2</v>
          </cell>
          <cell r="T26">
            <v>3.5999999999999999E-3</v>
          </cell>
          <cell r="U26">
            <v>1.36E-7</v>
          </cell>
          <cell r="V26">
            <v>0.1842374</v>
          </cell>
        </row>
        <row r="27">
          <cell r="B27" t="str">
            <v>rs142342609</v>
          </cell>
          <cell r="C27">
            <v>5</v>
          </cell>
          <cell r="D27">
            <v>180017643</v>
          </cell>
          <cell r="E27" t="str">
            <v>SCGB3A1</v>
          </cell>
          <cell r="F27" t="str">
            <v>G83D</v>
          </cell>
          <cell r="H27" t="str">
            <v>T</v>
          </cell>
          <cell r="I27" t="str">
            <v>C</v>
          </cell>
          <cell r="K27">
            <v>110603</v>
          </cell>
          <cell r="L27">
            <v>8.0000000000000004E-4</v>
          </cell>
          <cell r="M27">
            <v>0.1019</v>
          </cell>
          <cell r="N27">
            <v>7.5899999999999995E-2</v>
          </cell>
          <cell r="O27">
            <v>0.1797</v>
          </cell>
          <cell r="P27">
            <v>1.6786499999999999E-2</v>
          </cell>
          <cell r="Q27">
            <v>96706</v>
          </cell>
          <cell r="R27">
            <v>8.9999999999999998E-4</v>
          </cell>
          <cell r="S27">
            <v>9.1399999999999995E-2</v>
          </cell>
          <cell r="T27">
            <v>7.7299999999999994E-2</v>
          </cell>
          <cell r="U27">
            <v>0.23719999999999999</v>
          </cell>
          <cell r="V27">
            <v>7.6122999999999998E-3</v>
          </cell>
        </row>
        <row r="28">
          <cell r="B28" t="str">
            <v>rs1334576</v>
          </cell>
          <cell r="C28">
            <v>6</v>
          </cell>
          <cell r="D28">
            <v>7211818</v>
          </cell>
          <cell r="E28" t="str">
            <v>RREB1</v>
          </cell>
          <cell r="F28" t="str">
            <v>G195R</v>
          </cell>
          <cell r="G28" t="str">
            <v>yes</v>
          </cell>
          <cell r="H28" t="str">
            <v>G</v>
          </cell>
          <cell r="I28" t="str">
            <v>A</v>
          </cell>
          <cell r="K28">
            <v>224743</v>
          </cell>
          <cell r="L28">
            <v>0.57240000000000002</v>
          </cell>
          <cell r="M28">
            <v>1.4E-2</v>
          </cell>
          <cell r="N28">
            <v>3.0999999999999999E-3</v>
          </cell>
          <cell r="O28">
            <v>5.3000000000000001E-6</v>
          </cell>
          <cell r="P28">
            <v>0.14740420000000001</v>
          </cell>
          <cell r="Q28">
            <v>205635</v>
          </cell>
          <cell r="R28">
            <v>0.5766</v>
          </cell>
          <cell r="S28">
            <v>1.3100000000000001E-2</v>
          </cell>
          <cell r="T28">
            <v>3.2000000000000002E-3</v>
          </cell>
          <cell r="U28">
            <v>5.1799999999999999E-5</v>
          </cell>
          <cell r="V28">
            <v>8.2309400000000005E-2</v>
          </cell>
        </row>
        <row r="29">
          <cell r="B29" t="str">
            <v>rs146860658</v>
          </cell>
          <cell r="C29">
            <v>6</v>
          </cell>
          <cell r="D29">
            <v>26108117</v>
          </cell>
          <cell r="E29" t="str">
            <v>HIST1H1T</v>
          </cell>
          <cell r="F29" t="str">
            <v>A69T</v>
          </cell>
          <cell r="H29" t="str">
            <v>T</v>
          </cell>
          <cell r="I29" t="str">
            <v>C</v>
          </cell>
          <cell r="K29">
            <v>113040</v>
          </cell>
          <cell r="L29">
            <v>1.2999999999999999E-3</v>
          </cell>
          <cell r="M29">
            <v>0.20610000000000001</v>
          </cell>
          <cell r="N29">
            <v>6.0199999999999997E-2</v>
          </cell>
          <cell r="O29">
            <v>6.1799999999999995E-4</v>
          </cell>
          <cell r="P29">
            <v>0.62699170000000004</v>
          </cell>
          <cell r="Q29">
            <v>98760</v>
          </cell>
          <cell r="R29">
            <v>1.4E-3</v>
          </cell>
          <cell r="S29">
            <v>0.1893</v>
          </cell>
          <cell r="T29">
            <v>6.1199999999999997E-2</v>
          </cell>
          <cell r="U29">
            <v>1.9780000000000002E-3</v>
          </cell>
          <cell r="V29">
            <v>0.36417680000000002</v>
          </cell>
        </row>
        <row r="30">
          <cell r="B30" t="str">
            <v>rs9469913</v>
          </cell>
          <cell r="C30">
            <v>6</v>
          </cell>
          <cell r="D30">
            <v>34827085</v>
          </cell>
          <cell r="E30" t="str">
            <v>UHRF1BP1</v>
          </cell>
          <cell r="F30" t="str">
            <v>Q984H</v>
          </cell>
          <cell r="G30" t="str">
            <v>yes</v>
          </cell>
          <cell r="H30" t="str">
            <v>A</v>
          </cell>
          <cell r="I30" t="str">
            <v>T</v>
          </cell>
          <cell r="K30">
            <v>141665</v>
          </cell>
          <cell r="L30">
            <v>0.84740000000000004</v>
          </cell>
          <cell r="M30">
            <v>2.5100000000000001E-2</v>
          </cell>
          <cell r="N30">
            <v>5.4000000000000003E-3</v>
          </cell>
          <cell r="O30">
            <v>3.2499999999999998E-6</v>
          </cell>
          <cell r="P30">
            <v>0.27479439999999999</v>
          </cell>
          <cell r="Q30">
            <v>132209</v>
          </cell>
          <cell r="R30">
            <v>0.84260000000000002</v>
          </cell>
          <cell r="S30">
            <v>2.3699999999999999E-2</v>
          </cell>
          <cell r="T30">
            <v>5.4999999999999997E-3</v>
          </cell>
          <cell r="U30">
            <v>1.56E-5</v>
          </cell>
          <cell r="V30">
            <v>0.41233819999999999</v>
          </cell>
        </row>
        <row r="31">
          <cell r="B31" t="str">
            <v>rs1892172</v>
          </cell>
          <cell r="C31">
            <v>6</v>
          </cell>
          <cell r="D31">
            <v>127476516</v>
          </cell>
          <cell r="E31" t="str">
            <v>RSPO3</v>
          </cell>
          <cell r="F31" t="str">
            <v>synonymous</v>
          </cell>
          <cell r="G31" t="str">
            <v>yes</v>
          </cell>
          <cell r="H31" t="str">
            <v>A</v>
          </cell>
          <cell r="I31" t="str">
            <v>G</v>
          </cell>
          <cell r="K31">
            <v>250034</v>
          </cell>
          <cell r="L31">
            <v>0.54459999999999997</v>
          </cell>
          <cell r="M31">
            <v>4.2299999999999997E-2</v>
          </cell>
          <cell r="N31">
            <v>2.8999999999999998E-3</v>
          </cell>
          <cell r="O31">
            <v>3.4378790000000003E-48</v>
          </cell>
          <cell r="P31">
            <v>7.7400000000000002E-9</v>
          </cell>
          <cell r="Q31">
            <v>227419</v>
          </cell>
          <cell r="R31">
            <v>0.54220000000000002</v>
          </cell>
          <cell r="S31">
            <v>4.4600000000000001E-2</v>
          </cell>
          <cell r="T31">
            <v>3.0999999999999999E-3</v>
          </cell>
          <cell r="U31">
            <v>7.3419319999999997E-51</v>
          </cell>
          <cell r="V31">
            <v>4.3700000000000001E-8</v>
          </cell>
        </row>
        <row r="32">
          <cell r="B32" t="str">
            <v>rs139745911</v>
          </cell>
          <cell r="C32">
            <v>6</v>
          </cell>
          <cell r="D32">
            <v>127767954</v>
          </cell>
          <cell r="E32" t="str">
            <v>KIAA0408</v>
          </cell>
          <cell r="F32" t="str">
            <v>P504S</v>
          </cell>
          <cell r="G32" t="str">
            <v>yes</v>
          </cell>
          <cell r="H32" t="str">
            <v>A</v>
          </cell>
          <cell r="I32" t="str">
            <v>G</v>
          </cell>
          <cell r="K32">
            <v>205203</v>
          </cell>
          <cell r="L32">
            <v>9.9000000000000008E-3</v>
          </cell>
          <cell r="M32">
            <v>0.1429</v>
          </cell>
          <cell r="N32">
            <v>1.61E-2</v>
          </cell>
          <cell r="O32">
            <v>5.8799999999999997E-19</v>
          </cell>
          <cell r="P32">
            <v>1.9819999999999999E-4</v>
          </cell>
          <cell r="Q32">
            <v>188615</v>
          </cell>
          <cell r="R32">
            <v>1.0500000000000001E-2</v>
          </cell>
          <cell r="S32">
            <v>0.14430000000000001</v>
          </cell>
          <cell r="T32">
            <v>1.6199999999999999E-2</v>
          </cell>
          <cell r="U32">
            <v>5.0600000000000004E-19</v>
          </cell>
          <cell r="V32">
            <v>1.3210000000000001E-4</v>
          </cell>
        </row>
        <row r="33">
          <cell r="B33" t="str">
            <v>rs3734447</v>
          </cell>
          <cell r="C33">
            <v>6</v>
          </cell>
          <cell r="D33">
            <v>127771452</v>
          </cell>
          <cell r="E33" t="str">
            <v>KIAA0408</v>
          </cell>
          <cell r="F33" t="str">
            <v>S61R</v>
          </cell>
          <cell r="G33" t="str">
            <v>yes</v>
          </cell>
          <cell r="H33" t="str">
            <v>G</v>
          </cell>
          <cell r="I33" t="str">
            <v>T</v>
          </cell>
          <cell r="K33">
            <v>245521</v>
          </cell>
          <cell r="L33">
            <v>0.59130000000000005</v>
          </cell>
          <cell r="M33">
            <v>8.3999999999999995E-3</v>
          </cell>
          <cell r="N33">
            <v>3.0000000000000001E-3</v>
          </cell>
          <cell r="O33">
            <v>4.9379999999999997E-3</v>
          </cell>
          <cell r="P33">
            <v>0.90699030000000003</v>
          </cell>
          <cell r="Q33">
            <v>227205</v>
          </cell>
          <cell r="R33">
            <v>0.60199999999999998</v>
          </cell>
          <cell r="S33">
            <v>8.8000000000000005E-3</v>
          </cell>
          <cell r="T33">
            <v>3.0999999999999999E-3</v>
          </cell>
          <cell r="U33">
            <v>4.3210000000000002E-3</v>
          </cell>
          <cell r="V33">
            <v>0.89201649999999999</v>
          </cell>
        </row>
        <row r="34">
          <cell r="B34" t="str">
            <v>rs2303361</v>
          </cell>
          <cell r="C34">
            <v>7</v>
          </cell>
          <cell r="D34">
            <v>6449496</v>
          </cell>
          <cell r="E34" t="str">
            <v>DAGLB</v>
          </cell>
          <cell r="F34" t="str">
            <v>Q664R</v>
          </cell>
          <cell r="H34" t="str">
            <v>C</v>
          </cell>
          <cell r="I34" t="str">
            <v>T</v>
          </cell>
          <cell r="K34">
            <v>249716</v>
          </cell>
          <cell r="L34">
            <v>0.2235</v>
          </cell>
          <cell r="M34">
            <v>2.06E-2</v>
          </cell>
          <cell r="N34">
            <v>3.5000000000000001E-3</v>
          </cell>
          <cell r="O34">
            <v>2.93E-9</v>
          </cell>
          <cell r="P34">
            <v>3.3766E-3</v>
          </cell>
          <cell r="Q34">
            <v>227101</v>
          </cell>
          <cell r="R34">
            <v>0.23169999999999999</v>
          </cell>
          <cell r="S34">
            <v>2.1100000000000001E-2</v>
          </cell>
          <cell r="T34">
            <v>3.5999999999999999E-3</v>
          </cell>
          <cell r="U34">
            <v>3.8300000000000002E-9</v>
          </cell>
          <cell r="V34">
            <v>6.6214000000000004E-3</v>
          </cell>
        </row>
        <row r="35">
          <cell r="B35" t="str">
            <v>rs146605392</v>
          </cell>
          <cell r="C35">
            <v>7</v>
          </cell>
          <cell r="D35">
            <v>47886522</v>
          </cell>
          <cell r="E35" t="str">
            <v>PKD1L1</v>
          </cell>
          <cell r="F35" t="str">
            <v>R1703H</v>
          </cell>
          <cell r="H35" t="str">
            <v>C</v>
          </cell>
          <cell r="I35" t="str">
            <v>T</v>
          </cell>
          <cell r="K35">
            <v>226096</v>
          </cell>
          <cell r="L35">
            <v>0.99950000000000006</v>
          </cell>
          <cell r="M35">
            <v>-1.78E-2</v>
          </cell>
          <cell r="N35">
            <v>7.85E-2</v>
          </cell>
          <cell r="O35">
            <v>0.82089999999999996</v>
          </cell>
          <cell r="P35">
            <v>1.5277000000000001E-3</v>
          </cell>
          <cell r="Q35">
            <v>204554</v>
          </cell>
          <cell r="R35">
            <v>0.99950000000000006</v>
          </cell>
          <cell r="S35">
            <v>-4.7999999999999996E-3</v>
          </cell>
          <cell r="T35">
            <v>8.0199999999999994E-2</v>
          </cell>
          <cell r="U35">
            <v>0.95209999999999995</v>
          </cell>
          <cell r="V35">
            <v>1.4832999999999999E-3</v>
          </cell>
        </row>
        <row r="36">
          <cell r="B36" t="str">
            <v>rs35332062</v>
          </cell>
          <cell r="C36">
            <v>7</v>
          </cell>
          <cell r="D36">
            <v>73012042</v>
          </cell>
          <cell r="E36" t="str">
            <v>MLXIPL</v>
          </cell>
          <cell r="F36" t="str">
            <v>A358V</v>
          </cell>
          <cell r="H36" t="str">
            <v>G</v>
          </cell>
          <cell r="I36" t="str">
            <v>A</v>
          </cell>
          <cell r="K36">
            <v>224801</v>
          </cell>
          <cell r="L36">
            <v>0.87909999999999999</v>
          </cell>
          <cell r="M36">
            <v>2.5499999999999998E-2</v>
          </cell>
          <cell r="N36">
            <v>4.7000000000000002E-3</v>
          </cell>
          <cell r="O36">
            <v>7.7400000000000005E-8</v>
          </cell>
          <cell r="P36">
            <v>0.14534749999999999</v>
          </cell>
          <cell r="Q36">
            <v>205693</v>
          </cell>
          <cell r="R36">
            <v>0.876</v>
          </cell>
          <cell r="S36">
            <v>2.64E-2</v>
          </cell>
          <cell r="T36">
            <v>4.8999999999999998E-3</v>
          </cell>
          <cell r="U36">
            <v>7.6199999999999994E-8</v>
          </cell>
          <cell r="V36">
            <v>0.14982799999999999</v>
          </cell>
        </row>
        <row r="37">
          <cell r="B37" t="str">
            <v>rs3812316</v>
          </cell>
          <cell r="C37">
            <v>7</v>
          </cell>
          <cell r="D37">
            <v>73020337</v>
          </cell>
          <cell r="E37" t="str">
            <v>MLXIPL</v>
          </cell>
          <cell r="F37" t="str">
            <v>Q241H</v>
          </cell>
          <cell r="H37" t="str">
            <v>C</v>
          </cell>
          <cell r="I37" t="str">
            <v>G</v>
          </cell>
          <cell r="K37">
            <v>239294</v>
          </cell>
          <cell r="L37">
            <v>0.88090000000000002</v>
          </cell>
          <cell r="M37">
            <v>2.76E-2</v>
          </cell>
          <cell r="N37">
            <v>4.7000000000000002E-3</v>
          </cell>
          <cell r="O37">
            <v>3.8700000000000001E-9</v>
          </cell>
          <cell r="P37">
            <v>5.7995199999999997E-2</v>
          </cell>
          <cell r="Q37">
            <v>216679</v>
          </cell>
          <cell r="R37">
            <v>0.87609999999999999</v>
          </cell>
          <cell r="S37">
            <v>2.8299999999999999E-2</v>
          </cell>
          <cell r="T37">
            <v>4.7999999999999996E-3</v>
          </cell>
          <cell r="U37">
            <v>4.9799999999999998E-9</v>
          </cell>
          <cell r="V37">
            <v>6.2659699999999999E-2</v>
          </cell>
        </row>
        <row r="38">
          <cell r="B38" t="str">
            <v>rs1935</v>
          </cell>
          <cell r="C38">
            <v>10</v>
          </cell>
          <cell r="D38">
            <v>64927823</v>
          </cell>
          <cell r="E38" t="str">
            <v>JMJD1C</v>
          </cell>
          <cell r="F38" t="str">
            <v>E2535D</v>
          </cell>
          <cell r="H38" t="str">
            <v>C</v>
          </cell>
          <cell r="I38" t="str">
            <v>G</v>
          </cell>
          <cell r="K38">
            <v>245656</v>
          </cell>
          <cell r="L38">
            <v>0.5252</v>
          </cell>
          <cell r="M38">
            <v>1.29E-2</v>
          </cell>
          <cell r="N38">
            <v>3.0000000000000001E-3</v>
          </cell>
          <cell r="O38">
            <v>1.6200000000000001E-5</v>
          </cell>
          <cell r="P38">
            <v>9.6274200000000004E-2</v>
          </cell>
          <cell r="Q38">
            <v>223041</v>
          </cell>
          <cell r="R38">
            <v>0.51629999999999998</v>
          </cell>
          <cell r="S38">
            <v>1.35E-2</v>
          </cell>
          <cell r="T38">
            <v>3.0999999999999999E-3</v>
          </cell>
          <cell r="U38">
            <v>1.7399999999999999E-5</v>
          </cell>
          <cell r="V38">
            <v>0.22076309999999999</v>
          </cell>
        </row>
        <row r="39">
          <cell r="B39" t="str">
            <v>rs17417407</v>
          </cell>
          <cell r="C39">
            <v>10</v>
          </cell>
          <cell r="D39">
            <v>95931087</v>
          </cell>
          <cell r="E39" t="str">
            <v>PLCE1</v>
          </cell>
          <cell r="F39" t="str">
            <v>R240L</v>
          </cell>
          <cell r="H39" t="str">
            <v>T</v>
          </cell>
          <cell r="I39" t="str">
            <v>G</v>
          </cell>
          <cell r="K39">
            <v>250101</v>
          </cell>
          <cell r="L39">
            <v>0.16950000000000001</v>
          </cell>
          <cell r="M39">
            <v>1.9599999999999999E-2</v>
          </cell>
          <cell r="N39">
            <v>3.8E-3</v>
          </cell>
          <cell r="O39">
            <v>3.4400000000000001E-7</v>
          </cell>
          <cell r="P39">
            <v>0.59136100000000003</v>
          </cell>
          <cell r="Q39">
            <v>227486</v>
          </cell>
          <cell r="R39">
            <v>0.1663</v>
          </cell>
          <cell r="S39">
            <v>2.07E-2</v>
          </cell>
          <cell r="T39">
            <v>4.1000000000000003E-3</v>
          </cell>
          <cell r="U39">
            <v>3.5499999999999999E-7</v>
          </cell>
          <cell r="V39">
            <v>0.7216205</v>
          </cell>
        </row>
        <row r="40">
          <cell r="B40" t="str">
            <v>rs284860</v>
          </cell>
          <cell r="C40">
            <v>10</v>
          </cell>
          <cell r="D40">
            <v>104572963</v>
          </cell>
          <cell r="E40" t="str">
            <v>WBP1L</v>
          </cell>
          <cell r="F40" t="str">
            <v>S323P</v>
          </cell>
          <cell r="G40" t="str">
            <v>yes</v>
          </cell>
          <cell r="H40" t="str">
            <v>T</v>
          </cell>
          <cell r="I40" t="str">
            <v>C</v>
          </cell>
          <cell r="K40">
            <v>248719</v>
          </cell>
          <cell r="L40">
            <v>0.41099999999999998</v>
          </cell>
          <cell r="M40">
            <v>1.0500000000000001E-2</v>
          </cell>
          <cell r="N40">
            <v>3.0000000000000001E-3</v>
          </cell>
          <cell r="O40">
            <v>4.7540000000000001E-4</v>
          </cell>
          <cell r="P40">
            <v>6.7960000000000004E-4</v>
          </cell>
          <cell r="Q40">
            <v>226104</v>
          </cell>
          <cell r="R40">
            <v>0.40689999999999998</v>
          </cell>
          <cell r="S40">
            <v>1.2800000000000001E-2</v>
          </cell>
          <cell r="T40">
            <v>3.2000000000000002E-3</v>
          </cell>
          <cell r="U40">
            <v>4.8900000000000003E-5</v>
          </cell>
          <cell r="V40">
            <v>3.4E-5</v>
          </cell>
        </row>
        <row r="41">
          <cell r="B41" t="str">
            <v>rs138315382</v>
          </cell>
          <cell r="C41">
            <v>10</v>
          </cell>
          <cell r="D41">
            <v>123279643</v>
          </cell>
          <cell r="E41" t="str">
            <v>FGFR2</v>
          </cell>
          <cell r="F41" t="str">
            <v>synonymous</v>
          </cell>
          <cell r="H41" t="str">
            <v>T</v>
          </cell>
          <cell r="I41" t="str">
            <v>C</v>
          </cell>
          <cell r="K41">
            <v>123421</v>
          </cell>
          <cell r="L41">
            <v>8.0000000000000004E-4</v>
          </cell>
          <cell r="M41">
            <v>0.17030000000000001</v>
          </cell>
          <cell r="N41">
            <v>7.4399999999999994E-2</v>
          </cell>
          <cell r="O41">
            <v>2.2159999999999999E-2</v>
          </cell>
          <cell r="P41">
            <v>0.10897859999999999</v>
          </cell>
          <cell r="Q41">
            <v>106008</v>
          </cell>
          <cell r="R41">
            <v>8.9999999999999998E-4</v>
          </cell>
          <cell r="S41">
            <v>0.15390000000000001</v>
          </cell>
          <cell r="T41">
            <v>7.5300000000000006E-2</v>
          </cell>
          <cell r="U41">
            <v>4.0820000000000002E-2</v>
          </cell>
          <cell r="V41">
            <v>3.6247099999999997E-2</v>
          </cell>
        </row>
        <row r="42">
          <cell r="B42" t="str">
            <v>rs35169799</v>
          </cell>
          <cell r="C42">
            <v>11</v>
          </cell>
          <cell r="D42">
            <v>64031241</v>
          </cell>
          <cell r="E42" t="str">
            <v>PLCB3</v>
          </cell>
          <cell r="F42" t="str">
            <v>S778L</v>
          </cell>
          <cell r="G42" t="str">
            <v>yes</v>
          </cell>
          <cell r="H42" t="str">
            <v>T</v>
          </cell>
          <cell r="I42" t="str">
            <v>C</v>
          </cell>
          <cell r="K42">
            <v>250097</v>
          </cell>
          <cell r="L42">
            <v>6.0900000000000003E-2</v>
          </cell>
          <cell r="M42">
            <v>4.8899999999999999E-2</v>
          </cell>
          <cell r="N42">
            <v>6.0000000000000001E-3</v>
          </cell>
          <cell r="O42">
            <v>6.7400000000000001E-16</v>
          </cell>
          <cell r="P42">
            <v>1.27E-4</v>
          </cell>
          <cell r="Q42">
            <v>227482</v>
          </cell>
          <cell r="R42">
            <v>6.5100000000000005E-2</v>
          </cell>
          <cell r="S42">
            <v>4.9200000000000001E-2</v>
          </cell>
          <cell r="T42">
            <v>6.1000000000000004E-3</v>
          </cell>
          <cell r="U42">
            <v>1.03E-15</v>
          </cell>
          <cell r="V42">
            <v>2.4600000000000002E-5</v>
          </cell>
        </row>
        <row r="43">
          <cell r="B43" t="str">
            <v>rs7114037</v>
          </cell>
          <cell r="C43">
            <v>11</v>
          </cell>
          <cell r="D43">
            <v>65403651</v>
          </cell>
          <cell r="E43" t="str">
            <v>PCNXL3</v>
          </cell>
          <cell r="F43" t="str">
            <v>H1822Q</v>
          </cell>
          <cell r="H43" t="str">
            <v>C</v>
          </cell>
          <cell r="I43" t="str">
            <v>A</v>
          </cell>
          <cell r="K43">
            <v>226400</v>
          </cell>
          <cell r="L43">
            <v>0.95369999999999999</v>
          </cell>
          <cell r="M43">
            <v>3.2099999999999997E-2</v>
          </cell>
          <cell r="N43">
            <v>7.1999999999999998E-3</v>
          </cell>
          <cell r="O43">
            <v>8.5399999999999996E-6</v>
          </cell>
          <cell r="P43">
            <v>0.43734580000000001</v>
          </cell>
          <cell r="Q43">
            <v>203785</v>
          </cell>
          <cell r="R43">
            <v>0.94989999999999997</v>
          </cell>
          <cell r="S43">
            <v>3.1199999999999999E-2</v>
          </cell>
          <cell r="T43">
            <v>7.3000000000000001E-3</v>
          </cell>
          <cell r="U43">
            <v>1.7499999999999998E-5</v>
          </cell>
          <cell r="V43">
            <v>0.54766959999999998</v>
          </cell>
        </row>
        <row r="44">
          <cell r="B44" t="str">
            <v>rs145878042</v>
          </cell>
          <cell r="C44">
            <v>12</v>
          </cell>
          <cell r="D44">
            <v>48143315</v>
          </cell>
          <cell r="E44" t="str">
            <v>RAPGEF3</v>
          </cell>
          <cell r="F44" t="str">
            <v>L300P</v>
          </cell>
          <cell r="H44" t="str">
            <v>A</v>
          </cell>
          <cell r="I44" t="str">
            <v>G</v>
          </cell>
          <cell r="K44">
            <v>246266</v>
          </cell>
          <cell r="L44">
            <v>0.98939999999999995</v>
          </cell>
          <cell r="M44">
            <v>0.10730000000000001</v>
          </cell>
          <cell r="N44">
            <v>1.3899999999999999E-2</v>
          </cell>
          <cell r="O44">
            <v>1.34E-14</v>
          </cell>
          <cell r="P44">
            <v>7.3485E-3</v>
          </cell>
          <cell r="Q44">
            <v>225428</v>
          </cell>
          <cell r="R44">
            <v>0.98860000000000003</v>
          </cell>
          <cell r="S44">
            <v>0.1081</v>
          </cell>
          <cell r="T44">
            <v>1.41E-2</v>
          </cell>
          <cell r="U44">
            <v>1.42E-14</v>
          </cell>
          <cell r="V44">
            <v>4.2421000000000004E-3</v>
          </cell>
        </row>
        <row r="45">
          <cell r="B45" t="str">
            <v>rs3764002</v>
          </cell>
          <cell r="C45">
            <v>12</v>
          </cell>
          <cell r="D45">
            <v>108618630</v>
          </cell>
          <cell r="E45" t="str">
            <v>WSCD2</v>
          </cell>
          <cell r="F45" t="str">
            <v>T266I</v>
          </cell>
          <cell r="H45" t="str">
            <v>C</v>
          </cell>
          <cell r="I45" t="str">
            <v>T</v>
          </cell>
          <cell r="K45">
            <v>248299</v>
          </cell>
          <cell r="L45">
            <v>0.74360000000000004</v>
          </cell>
          <cell r="M45">
            <v>1.37E-2</v>
          </cell>
          <cell r="N45">
            <v>3.3E-3</v>
          </cell>
          <cell r="O45">
            <v>4.2200000000000003E-5</v>
          </cell>
          <cell r="P45">
            <v>0.5513747</v>
          </cell>
          <cell r="Q45">
            <v>227461</v>
          </cell>
          <cell r="R45">
            <v>0.73809999999999998</v>
          </cell>
          <cell r="S45">
            <v>1.37E-2</v>
          </cell>
          <cell r="T45">
            <v>3.3999999999999998E-3</v>
          </cell>
          <cell r="U45">
            <v>6.58E-5</v>
          </cell>
          <cell r="V45">
            <v>0.61080420000000002</v>
          </cell>
        </row>
        <row r="46">
          <cell r="B46" t="str">
            <v>rs1798192</v>
          </cell>
          <cell r="C46">
            <v>12</v>
          </cell>
          <cell r="D46">
            <v>123200768</v>
          </cell>
          <cell r="E46" t="str">
            <v>HCAR3</v>
          </cell>
          <cell r="F46" t="str">
            <v>T173P</v>
          </cell>
          <cell r="H46" t="str">
            <v>T</v>
          </cell>
          <cell r="I46" t="str">
            <v>G</v>
          </cell>
          <cell r="K46">
            <v>245798</v>
          </cell>
          <cell r="L46">
            <v>0.43540000000000001</v>
          </cell>
          <cell r="M46">
            <v>2.1600000000000001E-2</v>
          </cell>
          <cell r="N46">
            <v>4.4000000000000003E-3</v>
          </cell>
          <cell r="O46">
            <v>8.8299999999999995E-7</v>
          </cell>
          <cell r="P46">
            <v>6.7552999999999997E-3</v>
          </cell>
          <cell r="Q46">
            <v>227464</v>
          </cell>
          <cell r="R46">
            <v>0.42980000000000002</v>
          </cell>
          <cell r="S46">
            <v>2.4500000000000001E-2</v>
          </cell>
          <cell r="T46">
            <v>4.4999999999999997E-3</v>
          </cell>
          <cell r="U46">
            <v>6.4799999999999998E-8</v>
          </cell>
          <cell r="V46">
            <v>6.6847E-3</v>
          </cell>
        </row>
        <row r="47">
          <cell r="B47" t="str">
            <v>rs58843120</v>
          </cell>
          <cell r="C47">
            <v>12</v>
          </cell>
          <cell r="D47">
            <v>123444507</v>
          </cell>
          <cell r="E47" t="str">
            <v>ABCB9</v>
          </cell>
          <cell r="F47" t="str">
            <v>F92L</v>
          </cell>
          <cell r="G47" t="str">
            <v>yes</v>
          </cell>
          <cell r="H47" t="str">
            <v>G</v>
          </cell>
          <cell r="I47" t="str">
            <v>T</v>
          </cell>
          <cell r="K47">
            <v>247331</v>
          </cell>
          <cell r="L47">
            <v>0.98660000000000003</v>
          </cell>
          <cell r="M47">
            <v>6.08E-2</v>
          </cell>
          <cell r="N47">
            <v>1.2699999999999999E-2</v>
          </cell>
          <cell r="O47">
            <v>1.6300000000000001E-6</v>
          </cell>
          <cell r="P47">
            <v>0.35055969999999997</v>
          </cell>
          <cell r="Q47">
            <v>225436</v>
          </cell>
          <cell r="R47">
            <v>0.98580000000000001</v>
          </cell>
          <cell r="S47">
            <v>6.3500000000000001E-2</v>
          </cell>
          <cell r="T47">
            <v>1.29E-2</v>
          </cell>
          <cell r="U47">
            <v>7.8700000000000005E-7</v>
          </cell>
          <cell r="V47">
            <v>0.36059089999999999</v>
          </cell>
        </row>
        <row r="48">
          <cell r="B48" t="str">
            <v>rs11057353</v>
          </cell>
          <cell r="C48">
            <v>12</v>
          </cell>
          <cell r="D48">
            <v>124265687</v>
          </cell>
          <cell r="E48" t="str">
            <v>DNAH10</v>
          </cell>
          <cell r="F48" t="str">
            <v>S228P</v>
          </cell>
          <cell r="G48" t="str">
            <v>yes</v>
          </cell>
          <cell r="H48" t="str">
            <v>T</v>
          </cell>
          <cell r="I48" t="str">
            <v>C</v>
          </cell>
          <cell r="K48">
            <v>250054</v>
          </cell>
          <cell r="L48">
            <v>0.37580000000000002</v>
          </cell>
          <cell r="M48">
            <v>2.9100000000000001E-2</v>
          </cell>
          <cell r="N48">
            <v>3.0000000000000001E-3</v>
          </cell>
          <cell r="O48">
            <v>3.0799999999999998E-22</v>
          </cell>
          <cell r="P48">
            <v>2.6799999999999998E-8</v>
          </cell>
          <cell r="Q48">
            <v>227439</v>
          </cell>
          <cell r="R48">
            <v>0.38009999999999999</v>
          </cell>
          <cell r="S48">
            <v>2.9700000000000001E-2</v>
          </cell>
          <cell r="T48">
            <v>3.0999999999999999E-3</v>
          </cell>
          <cell r="U48">
            <v>1.9899999999999999E-21</v>
          </cell>
          <cell r="V48">
            <v>3.8199999999999998E-8</v>
          </cell>
        </row>
        <row r="49">
          <cell r="B49" t="str">
            <v>rs34934281</v>
          </cell>
          <cell r="C49">
            <v>12</v>
          </cell>
          <cell r="D49">
            <v>124330311</v>
          </cell>
          <cell r="E49" t="str">
            <v>DNAH10</v>
          </cell>
          <cell r="F49" t="str">
            <v>T1785M</v>
          </cell>
          <cell r="G49" t="str">
            <v>yes</v>
          </cell>
          <cell r="H49" t="str">
            <v>C</v>
          </cell>
          <cell r="I49" t="str">
            <v>T</v>
          </cell>
          <cell r="K49">
            <v>250066</v>
          </cell>
          <cell r="L49">
            <v>0.88739999999999997</v>
          </cell>
          <cell r="M49">
            <v>4.2799999999999998E-2</v>
          </cell>
          <cell r="N49">
            <v>4.5999999999999999E-3</v>
          </cell>
          <cell r="O49">
            <v>1.3800000000000001E-20</v>
          </cell>
          <cell r="P49">
            <v>3.1300000000000002E-8</v>
          </cell>
          <cell r="Q49">
            <v>227451</v>
          </cell>
          <cell r="R49">
            <v>0.88019999999999998</v>
          </cell>
          <cell r="S49">
            <v>4.3299999999999998E-2</v>
          </cell>
          <cell r="T49">
            <v>4.7000000000000002E-3</v>
          </cell>
          <cell r="U49">
            <v>2.05E-20</v>
          </cell>
          <cell r="V49">
            <v>3.9300000000000001E-8</v>
          </cell>
        </row>
        <row r="50">
          <cell r="B50" t="str">
            <v>rs11057401</v>
          </cell>
          <cell r="C50">
            <v>12</v>
          </cell>
          <cell r="D50">
            <v>124427306</v>
          </cell>
          <cell r="E50" t="str">
            <v>CCDC92</v>
          </cell>
          <cell r="F50" t="str">
            <v>S53C</v>
          </cell>
          <cell r="G50" t="str">
            <v>yes</v>
          </cell>
          <cell r="H50" t="str">
            <v>T</v>
          </cell>
          <cell r="I50" t="str">
            <v>A</v>
          </cell>
          <cell r="K50">
            <v>244678</v>
          </cell>
          <cell r="L50">
            <v>0.68899999999999995</v>
          </cell>
          <cell r="M50">
            <v>4.3299999999999998E-2</v>
          </cell>
          <cell r="N50">
            <v>3.2000000000000002E-3</v>
          </cell>
          <cell r="O50">
            <v>1.022697E-41</v>
          </cell>
          <cell r="P50">
            <v>5.4899999999999999E-11</v>
          </cell>
          <cell r="Q50">
            <v>223840</v>
          </cell>
          <cell r="R50">
            <v>0.68430000000000002</v>
          </cell>
          <cell r="S50">
            <v>4.53E-2</v>
          </cell>
          <cell r="T50">
            <v>3.3E-3</v>
          </cell>
          <cell r="U50">
            <v>7.3419319999999997E-51</v>
          </cell>
          <cell r="V50">
            <v>7.1699999999999995E-11</v>
          </cell>
        </row>
        <row r="51">
          <cell r="B51" t="str">
            <v>rs148108950</v>
          </cell>
          <cell r="C51">
            <v>13</v>
          </cell>
          <cell r="D51">
            <v>96665697</v>
          </cell>
          <cell r="E51" t="str">
            <v>UGGT2</v>
          </cell>
          <cell r="F51" t="str">
            <v>P175L</v>
          </cell>
          <cell r="H51" t="str">
            <v>A</v>
          </cell>
          <cell r="I51" t="str">
            <v>G</v>
          </cell>
          <cell r="K51">
            <v>221390</v>
          </cell>
          <cell r="L51">
            <v>3.5999999999999999E-3</v>
          </cell>
          <cell r="M51">
            <v>-4.3799999999999999E-2</v>
          </cell>
          <cell r="N51">
            <v>2.7400000000000001E-2</v>
          </cell>
          <cell r="O51">
            <v>0.10970000000000001</v>
          </cell>
          <cell r="P51">
            <v>1.53E-6</v>
          </cell>
          <cell r="Q51">
            <v>201981</v>
          </cell>
          <cell r="R51">
            <v>4.0000000000000001E-3</v>
          </cell>
          <cell r="S51">
            <v>-5.0099999999999999E-2</v>
          </cell>
          <cell r="T51">
            <v>2.75E-2</v>
          </cell>
          <cell r="U51">
            <v>6.8760000000000002E-2</v>
          </cell>
          <cell r="V51">
            <v>7.2600000000000002E-7</v>
          </cell>
        </row>
        <row r="52">
          <cell r="B52" t="str">
            <v>rs1042704</v>
          </cell>
          <cell r="C52">
            <v>14</v>
          </cell>
          <cell r="D52">
            <v>23312594</v>
          </cell>
          <cell r="E52" t="str">
            <v>MMP14</v>
          </cell>
          <cell r="F52" t="str">
            <v>D273N</v>
          </cell>
          <cell r="H52" t="str">
            <v>A</v>
          </cell>
          <cell r="I52" t="str">
            <v>G</v>
          </cell>
          <cell r="K52">
            <v>250018</v>
          </cell>
          <cell r="L52">
            <v>0.1966</v>
          </cell>
          <cell r="M52">
            <v>1.9E-3</v>
          </cell>
          <cell r="N52">
            <v>3.5999999999999999E-3</v>
          </cell>
          <cell r="O52">
            <v>0.60629999999999995</v>
          </cell>
          <cell r="P52">
            <v>2.6069999999999999E-4</v>
          </cell>
          <cell r="Q52">
            <v>227403</v>
          </cell>
          <cell r="R52">
            <v>0.20649999999999999</v>
          </cell>
          <cell r="S52">
            <v>3.0000000000000001E-3</v>
          </cell>
          <cell r="T52">
            <v>3.7000000000000002E-3</v>
          </cell>
          <cell r="U52">
            <v>0.42470000000000002</v>
          </cell>
          <cell r="V52">
            <v>7.3760000000000004E-4</v>
          </cell>
        </row>
        <row r="53">
          <cell r="B53" t="str">
            <v>rs1051860</v>
          </cell>
          <cell r="C53">
            <v>14</v>
          </cell>
          <cell r="D53">
            <v>58838668</v>
          </cell>
          <cell r="E53" t="str">
            <v>ARID4A</v>
          </cell>
          <cell r="F53" t="str">
            <v>synonymous</v>
          </cell>
          <cell r="H53" t="str">
            <v>A</v>
          </cell>
          <cell r="I53" t="str">
            <v>G</v>
          </cell>
          <cell r="K53">
            <v>224191</v>
          </cell>
          <cell r="L53">
            <v>0.41739999999999999</v>
          </cell>
          <cell r="M53">
            <v>1.44E-2</v>
          </cell>
          <cell r="N53">
            <v>3.0999999999999999E-3</v>
          </cell>
          <cell r="O53">
            <v>3.6799999999999999E-6</v>
          </cell>
          <cell r="P53">
            <v>0.123918</v>
          </cell>
          <cell r="Q53">
            <v>201959</v>
          </cell>
          <cell r="R53">
            <v>0.40860000000000002</v>
          </cell>
          <cell r="S53">
            <v>1.6799999999999999E-2</v>
          </cell>
          <cell r="T53">
            <v>3.3E-3</v>
          </cell>
          <cell r="U53">
            <v>2.9499999999999998E-7</v>
          </cell>
          <cell r="V53">
            <v>0.126083</v>
          </cell>
        </row>
        <row r="54">
          <cell r="B54" t="str">
            <v>rs148151659</v>
          </cell>
          <cell r="C54">
            <v>14</v>
          </cell>
          <cell r="D54">
            <v>99876522</v>
          </cell>
          <cell r="E54" t="str">
            <v>SETD3</v>
          </cell>
          <cell r="F54" t="str">
            <v>A294T</v>
          </cell>
          <cell r="H54" t="str">
            <v>C</v>
          </cell>
          <cell r="I54" t="str">
            <v>T</v>
          </cell>
          <cell r="K54">
            <v>161420</v>
          </cell>
          <cell r="L54">
            <v>0.99990000000000001</v>
          </cell>
          <cell r="M54">
            <v>0.92830000000000001</v>
          </cell>
          <cell r="N54">
            <v>0.17929999999999999</v>
          </cell>
          <cell r="O54">
            <v>2.2399999999999999E-7</v>
          </cell>
          <cell r="P54">
            <v>6.1260000000000004E-3</v>
          </cell>
          <cell r="Q54">
            <v>141628</v>
          </cell>
          <cell r="R54">
            <v>0.99990000000000001</v>
          </cell>
          <cell r="S54">
            <v>0.9768</v>
          </cell>
          <cell r="T54">
            <v>0.18859999999999999</v>
          </cell>
          <cell r="U54">
            <v>2.2399999999999999E-7</v>
          </cell>
          <cell r="V54">
            <v>6.0023999999999997E-3</v>
          </cell>
        </row>
        <row r="55">
          <cell r="B55" t="str">
            <v>rs17677991</v>
          </cell>
          <cell r="C55">
            <v>15</v>
          </cell>
          <cell r="D55">
            <v>42032383</v>
          </cell>
          <cell r="E55" t="str">
            <v>MGA</v>
          </cell>
          <cell r="F55" t="str">
            <v>P1523A</v>
          </cell>
          <cell r="H55" t="str">
            <v>G</v>
          </cell>
          <cell r="I55" t="str">
            <v>C</v>
          </cell>
          <cell r="K55">
            <v>246646</v>
          </cell>
          <cell r="L55">
            <v>0.34420000000000001</v>
          </cell>
          <cell r="M55">
            <v>1.49E-2</v>
          </cell>
          <cell r="N55">
            <v>3.0999999999999999E-3</v>
          </cell>
          <cell r="O55">
            <v>1.68E-6</v>
          </cell>
          <cell r="P55">
            <v>0.90847120000000003</v>
          </cell>
          <cell r="Q55">
            <v>224031</v>
          </cell>
          <cell r="R55">
            <v>0.35220000000000001</v>
          </cell>
          <cell r="S55">
            <v>1.6500000000000001E-2</v>
          </cell>
          <cell r="T55">
            <v>3.2000000000000002E-3</v>
          </cell>
          <cell r="U55">
            <v>3.6100000000000002E-7</v>
          </cell>
          <cell r="V55">
            <v>0.93118140000000005</v>
          </cell>
        </row>
        <row r="56">
          <cell r="B56" t="str">
            <v>rs3959569</v>
          </cell>
          <cell r="C56">
            <v>15</v>
          </cell>
          <cell r="D56">
            <v>42115747</v>
          </cell>
          <cell r="E56" t="str">
            <v>MAPKBP1</v>
          </cell>
          <cell r="F56" t="str">
            <v>R1240H</v>
          </cell>
          <cell r="H56" t="str">
            <v>C</v>
          </cell>
          <cell r="I56" t="str">
            <v>G</v>
          </cell>
          <cell r="K56">
            <v>153045</v>
          </cell>
          <cell r="L56">
            <v>0.31559999999999999</v>
          </cell>
          <cell r="M56">
            <v>1.6400000000000001E-2</v>
          </cell>
          <cell r="N56">
            <v>4.1000000000000003E-3</v>
          </cell>
          <cell r="O56">
            <v>5.3600000000000002E-5</v>
          </cell>
          <cell r="P56">
            <v>0.41386669999999998</v>
          </cell>
          <cell r="Q56">
            <v>140553</v>
          </cell>
          <cell r="R56">
            <v>0.34799999999999998</v>
          </cell>
          <cell r="S56">
            <v>1.8700000000000001E-2</v>
          </cell>
          <cell r="T56">
            <v>4.1999999999999997E-3</v>
          </cell>
          <cell r="U56">
            <v>7.8499999999999994E-6</v>
          </cell>
          <cell r="V56">
            <v>0.63485380000000002</v>
          </cell>
        </row>
        <row r="57">
          <cell r="B57" t="str">
            <v>rs12593397</v>
          </cell>
          <cell r="C57">
            <v>15</v>
          </cell>
          <cell r="D57">
            <v>42166500</v>
          </cell>
          <cell r="E57" t="str">
            <v>SPTBN5</v>
          </cell>
          <cell r="F57" t="str">
            <v>R1560H</v>
          </cell>
          <cell r="H57" t="str">
            <v>T</v>
          </cell>
          <cell r="I57" t="str">
            <v>C</v>
          </cell>
          <cell r="K57">
            <v>242844</v>
          </cell>
          <cell r="L57">
            <v>0.43159999999999998</v>
          </cell>
          <cell r="M57">
            <v>1.44E-2</v>
          </cell>
          <cell r="N57">
            <v>3.0999999999999999E-3</v>
          </cell>
          <cell r="O57">
            <v>2.57E-6</v>
          </cell>
          <cell r="P57">
            <v>3.4396299999999998E-2</v>
          </cell>
          <cell r="Q57">
            <v>220229</v>
          </cell>
          <cell r="R57">
            <v>0.441</v>
          </cell>
          <cell r="S57">
            <v>1.3899999999999999E-2</v>
          </cell>
          <cell r="T57">
            <v>3.2000000000000002E-3</v>
          </cell>
          <cell r="U57">
            <v>1.2E-5</v>
          </cell>
          <cell r="V57">
            <v>0.1477996</v>
          </cell>
        </row>
        <row r="58">
          <cell r="B58" t="str">
            <v>rs1715919</v>
          </cell>
          <cell r="C58">
            <v>15</v>
          </cell>
          <cell r="D58">
            <v>56756285</v>
          </cell>
          <cell r="E58" t="str">
            <v>MNS1</v>
          </cell>
          <cell r="F58" t="str">
            <v>Q55P</v>
          </cell>
          <cell r="G58" t="str">
            <v>yes</v>
          </cell>
          <cell r="H58" t="str">
            <v>G</v>
          </cell>
          <cell r="I58" t="str">
            <v>T</v>
          </cell>
          <cell r="K58">
            <v>249995</v>
          </cell>
          <cell r="L58">
            <v>9.8100000000000007E-2</v>
          </cell>
          <cell r="M58">
            <v>0.03</v>
          </cell>
          <cell r="N58">
            <v>4.8999999999999998E-3</v>
          </cell>
          <cell r="O58">
            <v>7.0299999999999995E-10</v>
          </cell>
          <cell r="P58">
            <v>2.7159900000000001E-2</v>
          </cell>
          <cell r="Q58">
            <v>227380</v>
          </cell>
          <cell r="R58">
            <v>0.1027</v>
          </cell>
          <cell r="S58">
            <v>2.93E-2</v>
          </cell>
          <cell r="T58">
            <v>5.0000000000000001E-3</v>
          </cell>
          <cell r="U58">
            <v>4.1299999999999996E-9</v>
          </cell>
          <cell r="V58">
            <v>6.5767099999999995E-2</v>
          </cell>
        </row>
        <row r="59">
          <cell r="B59" t="str">
            <v>rs3810818</v>
          </cell>
          <cell r="C59">
            <v>16</v>
          </cell>
          <cell r="D59">
            <v>4432029</v>
          </cell>
          <cell r="E59" t="str">
            <v>VASN</v>
          </cell>
          <cell r="F59" t="str">
            <v>E384A</v>
          </cell>
          <cell r="H59" t="str">
            <v>A</v>
          </cell>
          <cell r="I59" t="str">
            <v>C</v>
          </cell>
          <cell r="K59">
            <v>217116</v>
          </cell>
          <cell r="L59">
            <v>0.2293</v>
          </cell>
          <cell r="M59">
            <v>1.8499999999999999E-2</v>
          </cell>
          <cell r="N59">
            <v>3.7000000000000002E-3</v>
          </cell>
          <cell r="O59">
            <v>5.7299999999999996E-7</v>
          </cell>
          <cell r="P59">
            <v>0.32585209999999998</v>
          </cell>
          <cell r="Q59">
            <v>202784</v>
          </cell>
          <cell r="R59">
            <v>0.2223</v>
          </cell>
          <cell r="S59">
            <v>1.7899999999999999E-2</v>
          </cell>
          <cell r="T59">
            <v>3.8999999999999998E-3</v>
          </cell>
          <cell r="U59">
            <v>3.6399999999999999E-6</v>
          </cell>
          <cell r="V59">
            <v>0.43192409999999998</v>
          </cell>
        </row>
        <row r="60">
          <cell r="B60" t="str">
            <v>rs3747579</v>
          </cell>
          <cell r="C60">
            <v>16</v>
          </cell>
          <cell r="D60">
            <v>4445327</v>
          </cell>
          <cell r="E60" t="str">
            <v>CORO7</v>
          </cell>
          <cell r="F60" t="str">
            <v>R193Q</v>
          </cell>
          <cell r="H60" t="str">
            <v>C</v>
          </cell>
          <cell r="I60" t="str">
            <v>T</v>
          </cell>
          <cell r="K60">
            <v>244593</v>
          </cell>
          <cell r="L60">
            <v>0.30120000000000002</v>
          </cell>
          <cell r="M60">
            <v>2.2100000000000002E-2</v>
          </cell>
          <cell r="N60">
            <v>3.3E-3</v>
          </cell>
          <cell r="O60">
            <v>1.7599999999999999E-11</v>
          </cell>
          <cell r="P60">
            <v>4.3266300000000001E-2</v>
          </cell>
          <cell r="Q60">
            <v>226259</v>
          </cell>
          <cell r="R60">
            <v>0.27689999999999998</v>
          </cell>
          <cell r="S60">
            <v>2.2499999999999999E-2</v>
          </cell>
          <cell r="T60">
            <v>3.3999999999999998E-3</v>
          </cell>
          <cell r="U60">
            <v>4.0699999999999999E-11</v>
          </cell>
          <cell r="V60">
            <v>4.8309900000000003E-2</v>
          </cell>
        </row>
        <row r="61">
          <cell r="B61" t="str">
            <v>rs1139653</v>
          </cell>
          <cell r="C61">
            <v>16</v>
          </cell>
          <cell r="D61">
            <v>4484396</v>
          </cell>
          <cell r="E61" t="str">
            <v>DNAJA3</v>
          </cell>
          <cell r="F61" t="str">
            <v>N75Y</v>
          </cell>
          <cell r="H61" t="str">
            <v>A</v>
          </cell>
          <cell r="I61" t="str">
            <v>T</v>
          </cell>
          <cell r="K61">
            <v>236968</v>
          </cell>
          <cell r="L61">
            <v>0.28210000000000002</v>
          </cell>
          <cell r="M61">
            <v>1.8499999999999999E-2</v>
          </cell>
          <cell r="N61">
            <v>3.3E-3</v>
          </cell>
          <cell r="O61">
            <v>2.6899999999999999E-8</v>
          </cell>
          <cell r="P61">
            <v>0.14241229999999999</v>
          </cell>
          <cell r="Q61">
            <v>218634</v>
          </cell>
          <cell r="R61">
            <v>0.27550000000000002</v>
          </cell>
          <cell r="S61">
            <v>1.89E-2</v>
          </cell>
          <cell r="T61">
            <v>3.5000000000000001E-3</v>
          </cell>
          <cell r="U61">
            <v>5.3799999999999999E-8</v>
          </cell>
          <cell r="V61">
            <v>0.26770949999999999</v>
          </cell>
        </row>
        <row r="62">
          <cell r="B62" t="str">
            <v>rs1800069</v>
          </cell>
          <cell r="C62">
            <v>16</v>
          </cell>
          <cell r="D62">
            <v>14041570</v>
          </cell>
          <cell r="E62" t="str">
            <v>ERCC4</v>
          </cell>
          <cell r="F62" t="str">
            <v>I706T</v>
          </cell>
          <cell r="H62" t="str">
            <v>T</v>
          </cell>
          <cell r="I62" t="str">
            <v>C</v>
          </cell>
          <cell r="K62">
            <v>63732</v>
          </cell>
          <cell r="L62">
            <v>0.99570000000000003</v>
          </cell>
          <cell r="M62">
            <v>-0.16830000000000001</v>
          </cell>
          <cell r="N62">
            <v>0.14360000000000001</v>
          </cell>
          <cell r="O62">
            <v>0.24149999999999999</v>
          </cell>
          <cell r="P62">
            <v>0.49325219999999997</v>
          </cell>
          <cell r="Q62">
            <v>63732</v>
          </cell>
          <cell r="R62">
            <v>0.99570000000000003</v>
          </cell>
          <cell r="S62">
            <v>-0.16830000000000001</v>
          </cell>
          <cell r="T62">
            <v>0.14360000000000001</v>
          </cell>
          <cell r="U62">
            <v>0.24149999999999999</v>
          </cell>
          <cell r="V62">
            <v>0.49325219999999997</v>
          </cell>
        </row>
        <row r="63">
          <cell r="B63" t="str">
            <v>rs9922085</v>
          </cell>
          <cell r="C63">
            <v>16</v>
          </cell>
          <cell r="D63">
            <v>67397580</v>
          </cell>
          <cell r="E63" t="str">
            <v>LRRC36</v>
          </cell>
          <cell r="F63" t="str">
            <v>R101P</v>
          </cell>
          <cell r="H63" t="str">
            <v>G</v>
          </cell>
          <cell r="I63" t="str">
            <v>C</v>
          </cell>
          <cell r="K63">
            <v>246470</v>
          </cell>
          <cell r="L63">
            <v>0.93440000000000001</v>
          </cell>
          <cell r="M63">
            <v>3.7100000000000001E-2</v>
          </cell>
          <cell r="N63">
            <v>6.4999999999999997E-3</v>
          </cell>
          <cell r="O63">
            <v>9.8299999999999993E-9</v>
          </cell>
          <cell r="P63">
            <v>0.58924319999999997</v>
          </cell>
          <cell r="Q63">
            <v>223855</v>
          </cell>
          <cell r="R63">
            <v>0.95630000000000004</v>
          </cell>
          <cell r="S63">
            <v>4.3299999999999998E-2</v>
          </cell>
          <cell r="T63">
            <v>7.4999999999999997E-3</v>
          </cell>
          <cell r="U63">
            <v>7.6199999999999997E-9</v>
          </cell>
          <cell r="V63">
            <v>0.19196240000000001</v>
          </cell>
        </row>
        <row r="64">
          <cell r="B64" t="str">
            <v>rs8052655</v>
          </cell>
          <cell r="C64">
            <v>16</v>
          </cell>
          <cell r="D64">
            <v>67409180</v>
          </cell>
          <cell r="E64" t="str">
            <v>LRRC36</v>
          </cell>
          <cell r="F64" t="str">
            <v>G388S</v>
          </cell>
          <cell r="H64" t="str">
            <v>G</v>
          </cell>
          <cell r="I64" t="str">
            <v>A</v>
          </cell>
          <cell r="K64">
            <v>248883</v>
          </cell>
          <cell r="L64">
            <v>0.93489999999999995</v>
          </cell>
          <cell r="M64">
            <v>3.8100000000000002E-2</v>
          </cell>
          <cell r="N64">
            <v>6.4999999999999997E-3</v>
          </cell>
          <cell r="O64">
            <v>3.7499999999999997E-9</v>
          </cell>
          <cell r="P64">
            <v>0.39962239999999999</v>
          </cell>
          <cell r="Q64">
            <v>226268</v>
          </cell>
          <cell r="R64">
            <v>0.95660000000000001</v>
          </cell>
          <cell r="S64">
            <v>4.4299999999999999E-2</v>
          </cell>
          <cell r="T64">
            <v>7.4999999999999997E-3</v>
          </cell>
          <cell r="U64">
            <v>3.2099999999999999E-9</v>
          </cell>
          <cell r="V64">
            <v>9.7632099999999999E-2</v>
          </cell>
        </row>
        <row r="65">
          <cell r="B65" t="str">
            <v>rs897453</v>
          </cell>
          <cell r="C65">
            <v>17</v>
          </cell>
          <cell r="D65">
            <v>17425631</v>
          </cell>
          <cell r="E65" t="str">
            <v>PEMT</v>
          </cell>
          <cell r="F65" t="str">
            <v>V58L</v>
          </cell>
          <cell r="H65" t="str">
            <v>C</v>
          </cell>
          <cell r="I65" t="str">
            <v>T</v>
          </cell>
          <cell r="K65">
            <v>243863</v>
          </cell>
          <cell r="L65">
            <v>0.56489999999999996</v>
          </cell>
          <cell r="M65">
            <v>2.4500000000000001E-2</v>
          </cell>
          <cell r="N65">
            <v>5.1999999999999998E-3</v>
          </cell>
          <cell r="O65">
            <v>3.0199999999999999E-6</v>
          </cell>
          <cell r="P65">
            <v>0.81918690000000005</v>
          </cell>
          <cell r="Q65">
            <v>221248</v>
          </cell>
          <cell r="R65">
            <v>0.53869999999999996</v>
          </cell>
          <cell r="S65">
            <v>2.5000000000000001E-2</v>
          </cell>
          <cell r="T65">
            <v>5.3E-3</v>
          </cell>
          <cell r="U65">
            <v>2.39E-6</v>
          </cell>
          <cell r="V65">
            <v>0.78166530000000001</v>
          </cell>
        </row>
        <row r="66">
          <cell r="B66" t="str">
            <v>rs201010410</v>
          </cell>
          <cell r="C66">
            <v>19</v>
          </cell>
          <cell r="D66">
            <v>422171</v>
          </cell>
          <cell r="E66" t="str">
            <v>SHC2</v>
          </cell>
          <cell r="F66" t="str">
            <v>L532R</v>
          </cell>
          <cell r="H66" t="str">
            <v>C</v>
          </cell>
          <cell r="I66" t="str">
            <v>A</v>
          </cell>
          <cell r="K66">
            <v>91901</v>
          </cell>
          <cell r="L66">
            <v>8.9999999999999998E-4</v>
          </cell>
          <cell r="M66">
            <v>0.25640000000000002</v>
          </cell>
          <cell r="N66">
            <v>0.08</v>
          </cell>
          <cell r="O66">
            <v>1.34E-3</v>
          </cell>
          <cell r="P66">
            <v>0.53194810000000003</v>
          </cell>
          <cell r="Q66">
            <v>77632</v>
          </cell>
          <cell r="R66">
            <v>1E-3</v>
          </cell>
          <cell r="S66">
            <v>0.2616</v>
          </cell>
          <cell r="T66">
            <v>8.0199999999999994E-2</v>
          </cell>
          <cell r="U66">
            <v>1.114E-3</v>
          </cell>
          <cell r="V66">
            <v>0.56493499999999996</v>
          </cell>
        </row>
        <row r="67">
          <cell r="B67" t="str">
            <v>rs116843064</v>
          </cell>
          <cell r="C67">
            <v>19</v>
          </cell>
          <cell r="D67">
            <v>8429323</v>
          </cell>
          <cell r="E67" t="str">
            <v>ANGPTL4</v>
          </cell>
          <cell r="F67" t="str">
            <v>E40K</v>
          </cell>
          <cell r="H67" t="str">
            <v>G</v>
          </cell>
          <cell r="I67" t="str">
            <v>A</v>
          </cell>
          <cell r="K67">
            <v>243351</v>
          </cell>
          <cell r="L67">
            <v>0.98099999999999998</v>
          </cell>
          <cell r="M67">
            <v>6.4299999999999996E-2</v>
          </cell>
          <cell r="N67">
            <v>1.06E-2</v>
          </cell>
          <cell r="O67">
            <v>1.2E-9</v>
          </cell>
          <cell r="P67">
            <v>1.3199999999999999E-7</v>
          </cell>
          <cell r="Q67">
            <v>225400</v>
          </cell>
          <cell r="R67">
            <v>0.97970000000000002</v>
          </cell>
          <cell r="S67">
            <v>6.5600000000000006E-2</v>
          </cell>
          <cell r="T67">
            <v>1.06E-2</v>
          </cell>
          <cell r="U67">
            <v>6.8100000000000003E-10</v>
          </cell>
          <cell r="V67">
            <v>1.1000000000000001E-7</v>
          </cell>
        </row>
        <row r="68">
          <cell r="B68" t="str">
            <v>rs11554159</v>
          </cell>
          <cell r="C68">
            <v>19</v>
          </cell>
          <cell r="D68">
            <v>18285944</v>
          </cell>
          <cell r="E68" t="str">
            <v>IFI30</v>
          </cell>
          <cell r="F68" t="str">
            <v>R76Q</v>
          </cell>
          <cell r="G68" t="str">
            <v>yes</v>
          </cell>
          <cell r="H68" t="str">
            <v>A</v>
          </cell>
          <cell r="I68" t="str">
            <v>G</v>
          </cell>
          <cell r="K68">
            <v>250069</v>
          </cell>
          <cell r="L68">
            <v>0.25919999999999999</v>
          </cell>
          <cell r="M68">
            <v>2.2100000000000002E-2</v>
          </cell>
          <cell r="N68">
            <v>3.3999999999999998E-3</v>
          </cell>
          <cell r="O68">
            <v>4.3499999999999998E-11</v>
          </cell>
          <cell r="P68">
            <v>3.1164999999999999E-3</v>
          </cell>
          <cell r="Q68">
            <v>227454</v>
          </cell>
          <cell r="R68">
            <v>0.26550000000000001</v>
          </cell>
          <cell r="S68">
            <v>2.3400000000000001E-2</v>
          </cell>
          <cell r="T68">
            <v>3.5000000000000001E-3</v>
          </cell>
          <cell r="U68">
            <v>2.25E-11</v>
          </cell>
          <cell r="V68">
            <v>1.3169E-3</v>
          </cell>
        </row>
        <row r="69">
          <cell r="B69" t="str">
            <v>rs874628</v>
          </cell>
          <cell r="C69">
            <v>19</v>
          </cell>
          <cell r="D69">
            <v>18304700</v>
          </cell>
          <cell r="E69" t="str">
            <v>MPV17L2</v>
          </cell>
          <cell r="F69" t="str">
            <v>M72V</v>
          </cell>
          <cell r="G69" t="str">
            <v>yes</v>
          </cell>
          <cell r="H69" t="str">
            <v>G</v>
          </cell>
          <cell r="I69" t="str">
            <v>A</v>
          </cell>
          <cell r="K69">
            <v>250064</v>
          </cell>
          <cell r="L69">
            <v>0.27300000000000002</v>
          </cell>
          <cell r="M69">
            <v>2.2100000000000002E-2</v>
          </cell>
          <cell r="N69">
            <v>3.3E-3</v>
          </cell>
          <cell r="O69">
            <v>2.1399999999999998E-11</v>
          </cell>
          <cell r="P69">
            <v>2.4946999999999999E-3</v>
          </cell>
          <cell r="Q69">
            <v>227449</v>
          </cell>
          <cell r="R69">
            <v>0.28199999999999997</v>
          </cell>
          <cell r="S69">
            <v>2.29E-2</v>
          </cell>
          <cell r="T69">
            <v>3.3999999999999998E-3</v>
          </cell>
          <cell r="U69">
            <v>2.1199999999999999E-11</v>
          </cell>
          <cell r="V69">
            <v>1.8418E-3</v>
          </cell>
        </row>
        <row r="70">
          <cell r="B70" t="str">
            <v>rs2287922</v>
          </cell>
          <cell r="C70">
            <v>19</v>
          </cell>
          <cell r="D70">
            <v>49232226</v>
          </cell>
          <cell r="E70" t="str">
            <v>RASIP1</v>
          </cell>
          <cell r="F70" t="str">
            <v>R601C</v>
          </cell>
          <cell r="H70" t="str">
            <v>A</v>
          </cell>
          <cell r="I70" t="str">
            <v>G</v>
          </cell>
          <cell r="K70">
            <v>235654</v>
          </cell>
          <cell r="L70">
            <v>0.49659999999999999</v>
          </cell>
          <cell r="M70">
            <v>1.84E-2</v>
          </cell>
          <cell r="N70">
            <v>3.0999999999999999E-3</v>
          </cell>
          <cell r="O70">
            <v>2.9600000000000001E-9</v>
          </cell>
          <cell r="P70">
            <v>3.7383899999999998E-2</v>
          </cell>
          <cell r="Q70">
            <v>221177</v>
          </cell>
          <cell r="R70">
            <v>0.51549999999999996</v>
          </cell>
          <cell r="S70">
            <v>1.8599999999999998E-2</v>
          </cell>
          <cell r="T70">
            <v>3.2000000000000002E-3</v>
          </cell>
          <cell r="U70">
            <v>4.66E-9</v>
          </cell>
          <cell r="V70">
            <v>1.7865800000000001E-2</v>
          </cell>
        </row>
        <row r="71">
          <cell r="B71" t="str">
            <v>rs2307019</v>
          </cell>
          <cell r="C71">
            <v>19</v>
          </cell>
          <cell r="D71">
            <v>49244220</v>
          </cell>
          <cell r="E71" t="str">
            <v>IZUMO1</v>
          </cell>
          <cell r="F71" t="str">
            <v>A333V</v>
          </cell>
          <cell r="H71" t="str">
            <v>G</v>
          </cell>
          <cell r="I71" t="str">
            <v>A</v>
          </cell>
          <cell r="K71">
            <v>249927</v>
          </cell>
          <cell r="L71">
            <v>0.56030000000000002</v>
          </cell>
          <cell r="M71">
            <v>1.6E-2</v>
          </cell>
          <cell r="N71">
            <v>3.0000000000000001E-3</v>
          </cell>
          <cell r="O71">
            <v>6.4099999999999998E-8</v>
          </cell>
          <cell r="P71">
            <v>3.8723899999999999E-2</v>
          </cell>
          <cell r="Q71">
            <v>227312</v>
          </cell>
          <cell r="R71">
            <v>0.56340000000000001</v>
          </cell>
          <cell r="S71">
            <v>1.7100000000000001E-2</v>
          </cell>
          <cell r="T71">
            <v>3.0999999999999999E-3</v>
          </cell>
          <cell r="U71">
            <v>3.5199999999999998E-8</v>
          </cell>
          <cell r="V71">
            <v>3.5363400000000003E-2</v>
          </cell>
        </row>
        <row r="72">
          <cell r="B72" t="str">
            <v>rs4911494</v>
          </cell>
          <cell r="C72">
            <v>20</v>
          </cell>
          <cell r="D72">
            <v>33971914</v>
          </cell>
          <cell r="E72" t="str">
            <v>UQCC1</v>
          </cell>
          <cell r="F72" t="str">
            <v>R51Q</v>
          </cell>
          <cell r="G72" t="str">
            <v>yes</v>
          </cell>
          <cell r="H72" t="str">
            <v>T</v>
          </cell>
          <cell r="I72" t="str">
            <v>C</v>
          </cell>
          <cell r="K72">
            <v>224762</v>
          </cell>
          <cell r="L72">
            <v>0.60780000000000001</v>
          </cell>
          <cell r="M72">
            <v>1.0999999999999999E-2</v>
          </cell>
          <cell r="N72">
            <v>3.2000000000000002E-3</v>
          </cell>
          <cell r="O72">
            <v>6.3230000000000003E-4</v>
          </cell>
          <cell r="P72">
            <v>1.5372000000000001E-3</v>
          </cell>
          <cell r="Q72">
            <v>205654</v>
          </cell>
          <cell r="R72">
            <v>0.61939999999999995</v>
          </cell>
          <cell r="S72">
            <v>9.7000000000000003E-3</v>
          </cell>
          <cell r="T72">
            <v>3.3999999999999998E-3</v>
          </cell>
          <cell r="U72">
            <v>3.8509999999999998E-3</v>
          </cell>
          <cell r="V72">
            <v>9.0370000000000001E-4</v>
          </cell>
        </row>
        <row r="73">
          <cell r="B73" t="str">
            <v>rs224331</v>
          </cell>
          <cell r="C73">
            <v>20</v>
          </cell>
          <cell r="D73">
            <v>34022387</v>
          </cell>
          <cell r="E73" t="str">
            <v>GDF5</v>
          </cell>
          <cell r="F73" t="str">
            <v>S276A</v>
          </cell>
          <cell r="G73" t="str">
            <v>yes</v>
          </cell>
          <cell r="H73" t="str">
            <v>A</v>
          </cell>
          <cell r="I73" t="str">
            <v>C</v>
          </cell>
          <cell r="K73">
            <v>178459</v>
          </cell>
          <cell r="L73">
            <v>0.64649999999999996</v>
          </cell>
          <cell r="M73">
            <v>9.7999999999999997E-3</v>
          </cell>
          <cell r="N73">
            <v>3.5999999999999999E-3</v>
          </cell>
          <cell r="O73">
            <v>7.4549999999999998E-3</v>
          </cell>
          <cell r="P73">
            <v>3.1757999999999999E-3</v>
          </cell>
          <cell r="Q73">
            <v>167154</v>
          </cell>
          <cell r="R73">
            <v>0.64949999999999997</v>
          </cell>
          <cell r="S73">
            <v>1.06E-2</v>
          </cell>
          <cell r="T73">
            <v>3.8E-3</v>
          </cell>
          <cell r="U73">
            <v>5.045E-3</v>
          </cell>
          <cell r="V73">
            <v>1.19525E-2</v>
          </cell>
        </row>
        <row r="74">
          <cell r="B74" t="str">
            <v>rs144098855</v>
          </cell>
          <cell r="C74">
            <v>20</v>
          </cell>
          <cell r="D74">
            <v>42965811</v>
          </cell>
          <cell r="E74" t="str">
            <v>R3HDML</v>
          </cell>
          <cell r="F74" t="str">
            <v>P5L</v>
          </cell>
          <cell r="H74" t="str">
            <v>T</v>
          </cell>
          <cell r="I74" t="str">
            <v>C</v>
          </cell>
          <cell r="K74">
            <v>229332</v>
          </cell>
          <cell r="L74">
            <v>8.9999999999999998E-4</v>
          </cell>
          <cell r="M74">
            <v>0.1711</v>
          </cell>
          <cell r="N74">
            <v>5.3800000000000001E-2</v>
          </cell>
          <cell r="O74">
            <v>1.4710000000000001E-3</v>
          </cell>
          <cell r="P74">
            <v>0.99760769999999999</v>
          </cell>
          <cell r="Q74">
            <v>209586</v>
          </cell>
          <cell r="R74">
            <v>1E-3</v>
          </cell>
          <cell r="S74">
            <v>0.16850000000000001</v>
          </cell>
          <cell r="T74">
            <v>5.3900000000000003E-2</v>
          </cell>
          <cell r="U74">
            <v>1.7730000000000001E-3</v>
          </cell>
          <cell r="V74">
            <v>0.96775169999999999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hyperlink" Target="http://www.oxfordbiobank.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topLeftCell="A13" workbookViewId="0">
      <selection activeCell="E20" sqref="E20"/>
    </sheetView>
  </sheetViews>
  <sheetFormatPr defaultRowHeight="15" x14ac:dyDescent="0.25"/>
  <sheetData>
    <row r="1" spans="1:2" x14ac:dyDescent="0.25">
      <c r="A1" t="s">
        <v>5609</v>
      </c>
      <c r="B1" t="s">
        <v>5608</v>
      </c>
    </row>
    <row r="2" spans="1:2" x14ac:dyDescent="0.25">
      <c r="A2" t="s">
        <v>5601</v>
      </c>
      <c r="B2" t="s">
        <v>5607</v>
      </c>
    </row>
    <row r="3" spans="1:2" x14ac:dyDescent="0.25">
      <c r="A3" t="s">
        <v>5600</v>
      </c>
      <c r="B3" t="s">
        <v>5606</v>
      </c>
    </row>
    <row r="4" spans="1:2" x14ac:dyDescent="0.25">
      <c r="A4" t="s">
        <v>5599</v>
      </c>
      <c r="B4" t="s">
        <v>5605</v>
      </c>
    </row>
    <row r="5" spans="1:2" x14ac:dyDescent="0.25">
      <c r="A5" t="s">
        <v>5607</v>
      </c>
      <c r="B5" t="s">
        <v>5604</v>
      </c>
    </row>
    <row r="6" spans="1:2" x14ac:dyDescent="0.25">
      <c r="A6" t="s">
        <v>5606</v>
      </c>
      <c r="B6" t="s">
        <v>5603</v>
      </c>
    </row>
    <row r="7" spans="1:2" x14ac:dyDescent="0.25">
      <c r="A7" t="s">
        <v>5605</v>
      </c>
      <c r="B7" t="s">
        <v>5602</v>
      </c>
    </row>
    <row r="8" spans="1:2" x14ac:dyDescent="0.25">
      <c r="A8" t="s">
        <v>5596</v>
      </c>
      <c r="B8" t="s">
        <v>5621</v>
      </c>
    </row>
    <row r="9" spans="1:2" x14ac:dyDescent="0.25">
      <c r="A9" t="s">
        <v>5604</v>
      </c>
      <c r="B9" t="s">
        <v>5620</v>
      </c>
    </row>
    <row r="10" spans="1:2" x14ac:dyDescent="0.25">
      <c r="A10" t="s">
        <v>5603</v>
      </c>
      <c r="B10" t="s">
        <v>5619</v>
      </c>
    </row>
    <row r="11" spans="1:2" x14ac:dyDescent="0.25">
      <c r="A11" t="s">
        <v>5588</v>
      </c>
      <c r="B11" t="s">
        <v>5618</v>
      </c>
    </row>
    <row r="12" spans="1:2" x14ac:dyDescent="0.25">
      <c r="A12" t="s">
        <v>5602</v>
      </c>
      <c r="B12" t="s">
        <v>5616</v>
      </c>
    </row>
    <row r="13" spans="1:2" x14ac:dyDescent="0.25">
      <c r="A13" t="s">
        <v>5598</v>
      </c>
      <c r="B13" t="s">
        <v>5601</v>
      </c>
    </row>
    <row r="14" spans="1:2" x14ac:dyDescent="0.25">
      <c r="A14" t="s">
        <v>5594</v>
      </c>
      <c r="B14" t="s">
        <v>5600</v>
      </c>
    </row>
    <row r="15" spans="1:2" x14ac:dyDescent="0.25">
      <c r="A15" t="s">
        <v>5592</v>
      </c>
      <c r="B15" t="s">
        <v>5599</v>
      </c>
    </row>
    <row r="16" spans="1:2" x14ac:dyDescent="0.25">
      <c r="A16" t="s">
        <v>5590</v>
      </c>
      <c r="B16" t="s">
        <v>5598</v>
      </c>
    </row>
    <row r="17" spans="1:2" x14ac:dyDescent="0.25">
      <c r="A17" t="s">
        <v>5597</v>
      </c>
      <c r="B17" t="s">
        <v>5596</v>
      </c>
    </row>
    <row r="18" spans="1:2" x14ac:dyDescent="0.25">
      <c r="A18" t="s">
        <v>5595</v>
      </c>
      <c r="B18" t="s">
        <v>5594</v>
      </c>
    </row>
    <row r="19" spans="1:2" x14ac:dyDescent="0.25">
      <c r="A19" t="s">
        <v>5593</v>
      </c>
      <c r="B19" t="s">
        <v>5592</v>
      </c>
    </row>
    <row r="20" spans="1:2" x14ac:dyDescent="0.25">
      <c r="A20" t="s">
        <v>5591</v>
      </c>
      <c r="B20" t="s">
        <v>5590</v>
      </c>
    </row>
    <row r="21" spans="1:2" x14ac:dyDescent="0.25">
      <c r="A21" t="s">
        <v>5589</v>
      </c>
      <c r="B21" t="s">
        <v>5588</v>
      </c>
    </row>
    <row r="22" spans="1:2" x14ac:dyDescent="0.25">
      <c r="A22" t="s">
        <v>5587</v>
      </c>
      <c r="B22" t="s">
        <v>5597</v>
      </c>
    </row>
    <row r="23" spans="1:2" x14ac:dyDescent="0.25">
      <c r="A23" t="s">
        <v>5586</v>
      </c>
      <c r="B23" t="s">
        <v>5595</v>
      </c>
    </row>
    <row r="24" spans="1:2" x14ac:dyDescent="0.25">
      <c r="A24" t="s">
        <v>5585</v>
      </c>
      <c r="B24" t="s">
        <v>5593</v>
      </c>
    </row>
    <row r="25" spans="1:2" x14ac:dyDescent="0.25">
      <c r="A25" t="s">
        <v>5584</v>
      </c>
      <c r="B25" t="s">
        <v>5591</v>
      </c>
    </row>
    <row r="26" spans="1:2" x14ac:dyDescent="0.25">
      <c r="A26" t="s">
        <v>5583</v>
      </c>
      <c r="B26" t="s">
        <v>5589</v>
      </c>
    </row>
    <row r="27" spans="1:2" x14ac:dyDescent="0.25">
      <c r="A27" t="s">
        <v>5582</v>
      </c>
      <c r="B27" t="s">
        <v>5617</v>
      </c>
    </row>
    <row r="28" spans="1:2" x14ac:dyDescent="0.25">
      <c r="A28" t="s">
        <v>5581</v>
      </c>
      <c r="B28" t="s">
        <v>5587</v>
      </c>
    </row>
    <row r="29" spans="1:2" x14ac:dyDescent="0.25">
      <c r="A29" t="s">
        <v>5580</v>
      </c>
      <c r="B29" t="s">
        <v>5908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83"/>
  <sheetViews>
    <sheetView tabSelected="1" zoomScale="85" zoomScaleNormal="85" zoomScalePageLayoutView="85" workbookViewId="0">
      <selection activeCell="A2" sqref="A2"/>
    </sheetView>
  </sheetViews>
  <sheetFormatPr defaultColWidth="8.7109375" defaultRowHeight="15" x14ac:dyDescent="0.25"/>
  <cols>
    <col min="1" max="1" width="6.28515625" style="1" customWidth="1"/>
    <col min="2" max="2" width="10.28515625" style="1" customWidth="1"/>
    <col min="3" max="3" width="11.28515625" style="1" customWidth="1"/>
    <col min="4" max="4" width="6.28515625" style="1" customWidth="1"/>
    <col min="5" max="5" width="11.7109375" style="1" customWidth="1"/>
    <col min="6" max="7" width="10.28515625" style="37" customWidth="1"/>
    <col min="8" max="8" width="11.140625" style="1" customWidth="1"/>
    <col min="9" max="9" width="6.7109375" style="1" customWidth="1"/>
    <col min="10" max="10" width="8.28515625" style="1" customWidth="1"/>
    <col min="11" max="13" width="10.7109375" style="1" customWidth="1"/>
    <col min="14" max="14" width="7.140625" style="1" customWidth="1"/>
    <col min="15" max="15" width="8.28515625" style="1" customWidth="1"/>
    <col min="16" max="16" width="12.140625" style="2" customWidth="1"/>
    <col min="17" max="17" width="6.7109375" style="2" customWidth="1"/>
    <col min="18" max="18" width="8.28515625" style="2" customWidth="1"/>
    <col min="19" max="29" width="8.7109375" style="2"/>
    <col min="30" max="16384" width="8.7109375" style="1"/>
  </cols>
  <sheetData>
    <row r="1" spans="1:29" s="49" customFormat="1" ht="50.25" customHeight="1" x14ac:dyDescent="0.25">
      <c r="A1" s="1403" t="s">
        <v>5916</v>
      </c>
      <c r="B1" s="1403"/>
      <c r="C1" s="1403"/>
      <c r="D1" s="1403"/>
      <c r="E1" s="1403"/>
      <c r="F1" s="1403"/>
      <c r="G1" s="1403"/>
      <c r="H1" s="1403"/>
      <c r="I1" s="1403"/>
      <c r="J1" s="1403"/>
      <c r="K1" s="1403"/>
      <c r="L1" s="1403"/>
      <c r="M1" s="1403"/>
      <c r="N1" s="1403"/>
      <c r="O1" s="1403"/>
      <c r="P1" s="1403"/>
      <c r="Q1" s="1403"/>
      <c r="R1" s="1403"/>
      <c r="S1" s="758"/>
      <c r="T1" s="758"/>
      <c r="U1" s="758"/>
      <c r="V1" s="758"/>
      <c r="W1" s="758"/>
      <c r="X1" s="758"/>
      <c r="Y1" s="758"/>
      <c r="Z1" s="758"/>
      <c r="AA1" s="758"/>
      <c r="AB1" s="758"/>
      <c r="AC1" s="758"/>
    </row>
    <row r="2" spans="1:29" ht="39" customHeight="1" x14ac:dyDescent="0.25">
      <c r="G2" s="1404" t="s">
        <v>1058</v>
      </c>
      <c r="H2" s="1304"/>
      <c r="I2" s="1304"/>
      <c r="J2" s="1305"/>
      <c r="L2" s="1404" t="s">
        <v>1059</v>
      </c>
      <c r="M2" s="1304"/>
      <c r="N2" s="1304"/>
      <c r="O2" s="1305"/>
      <c r="P2" s="1295" t="s">
        <v>1060</v>
      </c>
      <c r="Q2" s="1296"/>
      <c r="R2" s="1297"/>
    </row>
    <row r="3" spans="1:29" ht="48" thickBot="1" x14ac:dyDescent="0.3">
      <c r="A3" s="1068" t="s">
        <v>891</v>
      </c>
      <c r="B3" s="1202" t="s">
        <v>892</v>
      </c>
      <c r="C3" s="1203" t="s">
        <v>234</v>
      </c>
      <c r="D3" s="1203" t="s">
        <v>5</v>
      </c>
      <c r="E3" s="1204" t="s">
        <v>1061</v>
      </c>
      <c r="F3" s="1149" t="s">
        <v>968</v>
      </c>
      <c r="G3" s="1068" t="s">
        <v>5567</v>
      </c>
      <c r="H3" s="1154" t="s">
        <v>1062</v>
      </c>
      <c r="I3" s="1204" t="s">
        <v>10</v>
      </c>
      <c r="J3" s="48" t="s">
        <v>11</v>
      </c>
      <c r="K3" s="1159" t="s">
        <v>1063</v>
      </c>
      <c r="L3" s="1068" t="s">
        <v>5567</v>
      </c>
      <c r="M3" s="1154" t="s">
        <v>1062</v>
      </c>
      <c r="N3" s="1204" t="s">
        <v>10</v>
      </c>
      <c r="O3" s="48" t="s">
        <v>11</v>
      </c>
      <c r="P3" s="1154" t="s">
        <v>1062</v>
      </c>
      <c r="Q3" s="1205" t="s">
        <v>10</v>
      </c>
      <c r="R3" s="48" t="s">
        <v>11</v>
      </c>
    </row>
    <row r="4" spans="1:29" ht="15.75" thickTop="1" x14ac:dyDescent="0.25">
      <c r="A4" s="1071" t="s">
        <v>5576</v>
      </c>
      <c r="B4" s="320"/>
      <c r="C4" s="320"/>
      <c r="D4" s="320"/>
      <c r="E4" s="321"/>
      <c r="F4" s="369"/>
      <c r="G4" s="1156"/>
      <c r="H4" s="323"/>
      <c r="I4" s="321"/>
      <c r="J4" s="321"/>
      <c r="K4" s="320"/>
      <c r="L4" s="1161"/>
      <c r="M4" s="323"/>
      <c r="N4" s="321"/>
      <c r="O4" s="321"/>
      <c r="P4" s="323"/>
      <c r="Q4" s="321"/>
      <c r="R4" s="322"/>
    </row>
    <row r="5" spans="1:29" x14ac:dyDescent="0.25">
      <c r="A5" s="19">
        <v>1</v>
      </c>
      <c r="B5" s="1">
        <v>119427467</v>
      </c>
      <c r="C5" s="2" t="s">
        <v>16</v>
      </c>
      <c r="D5" s="2" t="s">
        <v>17</v>
      </c>
      <c r="E5" s="1" t="s">
        <v>15</v>
      </c>
      <c r="F5" s="37" t="s">
        <v>18</v>
      </c>
      <c r="G5" s="307">
        <v>495984</v>
      </c>
      <c r="H5" s="51">
        <v>-1.753538E-2</v>
      </c>
      <c r="I5" s="51">
        <v>5.0883400000000002E-3</v>
      </c>
      <c r="J5" s="13">
        <v>5.6855000000000002E-4</v>
      </c>
      <c r="K5" s="19" t="s">
        <v>1065</v>
      </c>
      <c r="L5" s="307">
        <f t="shared" ref="L5:L51" si="0">VLOOKUP(E5,alla,10, FALSE)</f>
        <v>441461</v>
      </c>
      <c r="M5" s="177">
        <v>4.0599999999999997E-2</v>
      </c>
      <c r="N5" s="177">
        <v>5.3E-3</v>
      </c>
      <c r="O5" s="13">
        <v>2.2099999999999999E-14</v>
      </c>
      <c r="P5" s="1093">
        <f>M5+H5*0.49</f>
        <v>3.2007663799999996E-2</v>
      </c>
      <c r="Q5" s="1094">
        <f xml:space="preserve"> SQRT(N5^2 + ((I5^2)*(0.49^2)))</f>
        <v>5.8571732149339381E-3</v>
      </c>
      <c r="R5" s="1095">
        <f>_xlfn.NORM.S.DIST((P5/Q5),FALSE)</f>
        <v>1.3069715740939194E-7</v>
      </c>
      <c r="T5" s="1141"/>
      <c r="U5" s="1141"/>
      <c r="V5" s="1141"/>
      <c r="W5" s="1143"/>
      <c r="X5" s="1141"/>
      <c r="Y5" s="631"/>
      <c r="Z5" s="629"/>
      <c r="AA5" s="629"/>
      <c r="AB5" s="629"/>
      <c r="AC5" s="632"/>
    </row>
    <row r="6" spans="1:29" x14ac:dyDescent="0.25">
      <c r="A6" s="19">
        <v>1</v>
      </c>
      <c r="B6" s="1">
        <v>119469188</v>
      </c>
      <c r="C6" s="2" t="s">
        <v>23</v>
      </c>
      <c r="D6" s="2" t="s">
        <v>24</v>
      </c>
      <c r="E6" s="1" t="s">
        <v>22</v>
      </c>
      <c r="F6" s="37" t="s">
        <v>18</v>
      </c>
      <c r="G6" s="307">
        <v>510510</v>
      </c>
      <c r="H6" s="51">
        <v>-6.0285499999999997E-3</v>
      </c>
      <c r="I6" s="51">
        <v>2.7311800000000002E-3</v>
      </c>
      <c r="J6" s="13">
        <v>2.729299E-2</v>
      </c>
      <c r="K6" s="19" t="s">
        <v>1065</v>
      </c>
      <c r="L6" s="307">
        <f t="shared" si="0"/>
        <v>472259</v>
      </c>
      <c r="M6" s="177">
        <v>1.77E-2</v>
      </c>
      <c r="N6" s="177">
        <v>2.8E-3</v>
      </c>
      <c r="O6" s="13">
        <v>1.3799999999999999E-10</v>
      </c>
      <c r="P6" s="759">
        <f t="shared" ref="P6:P56" si="1">M6+H6*0.49</f>
        <v>1.47460105E-2</v>
      </c>
      <c r="Q6" s="760">
        <f t="shared" ref="Q6:Q56" si="2" xml:space="preserve"> SQRT(N6^2 + ((I6^2)*(0.49^2)))</f>
        <v>3.1033834021266596E-3</v>
      </c>
      <c r="R6" s="761">
        <f t="shared" ref="R6:R56" si="3">_xlfn.NORM.S.DIST((P6/Q6),FALSE)</f>
        <v>4.9916207968399986E-6</v>
      </c>
      <c r="T6" s="1141"/>
      <c r="U6" s="1141"/>
      <c r="V6" s="1141"/>
      <c r="W6" s="1143"/>
      <c r="X6" s="1141"/>
      <c r="Y6" s="631"/>
      <c r="Z6" s="629"/>
      <c r="AA6" s="629"/>
      <c r="AB6" s="629"/>
      <c r="AC6" s="632"/>
    </row>
    <row r="7" spans="1:29" x14ac:dyDescent="0.25">
      <c r="A7" s="19">
        <v>1</v>
      </c>
      <c r="B7" s="1">
        <v>154987704</v>
      </c>
      <c r="C7" s="2" t="s">
        <v>17</v>
      </c>
      <c r="D7" s="2" t="s">
        <v>23</v>
      </c>
      <c r="E7" s="1" t="s">
        <v>27</v>
      </c>
      <c r="F7" s="37" t="s">
        <v>28</v>
      </c>
      <c r="G7" s="307">
        <v>526508</v>
      </c>
      <c r="H7" s="51">
        <v>-4.6349069999999999E-2</v>
      </c>
      <c r="I7" s="51">
        <v>6.4780000000000003E-3</v>
      </c>
      <c r="J7" s="13">
        <v>8.3769999999999995E-13</v>
      </c>
      <c r="K7" s="19" t="s">
        <v>1065</v>
      </c>
      <c r="L7" s="307">
        <f t="shared" si="0"/>
        <v>476440</v>
      </c>
      <c r="M7" s="177">
        <v>3.73E-2</v>
      </c>
      <c r="N7" s="177">
        <v>6.7999999999999996E-3</v>
      </c>
      <c r="O7" s="13">
        <v>3.7499999999999998E-8</v>
      </c>
      <c r="P7" s="759">
        <f t="shared" si="1"/>
        <v>1.45889557E-2</v>
      </c>
      <c r="Q7" s="760">
        <f t="shared" si="2"/>
        <v>7.5043768967449917E-3</v>
      </c>
      <c r="R7" s="1099">
        <f t="shared" si="3"/>
        <v>6.0287991977392992E-2</v>
      </c>
      <c r="T7" s="1141"/>
      <c r="U7" s="1141"/>
      <c r="V7" s="1141"/>
      <c r="W7" s="1143"/>
      <c r="X7" s="1141"/>
      <c r="Y7" s="631"/>
      <c r="Z7" s="629"/>
      <c r="AA7" s="629"/>
      <c r="AB7" s="629"/>
      <c r="AC7" s="632"/>
    </row>
    <row r="8" spans="1:29" x14ac:dyDescent="0.25">
      <c r="A8" s="19">
        <v>2</v>
      </c>
      <c r="B8" s="1">
        <v>158412701</v>
      </c>
      <c r="C8" s="2" t="s">
        <v>23</v>
      </c>
      <c r="D8" s="2" t="s">
        <v>24</v>
      </c>
      <c r="E8" s="1" t="s">
        <v>32</v>
      </c>
      <c r="F8" s="37" t="s">
        <v>33</v>
      </c>
      <c r="G8" s="307">
        <v>505512</v>
      </c>
      <c r="H8" s="51">
        <v>-3.0263040000000001E-2</v>
      </c>
      <c r="I8" s="51">
        <v>1.038905E-2</v>
      </c>
      <c r="J8" s="13">
        <v>3.5800300000000001E-3</v>
      </c>
      <c r="K8" s="19" t="s">
        <v>1065</v>
      </c>
      <c r="L8" s="307">
        <f t="shared" si="0"/>
        <v>455526</v>
      </c>
      <c r="M8" s="177">
        <v>6.5199999999999994E-2</v>
      </c>
      <c r="N8" s="177">
        <v>1.0500000000000001E-2</v>
      </c>
      <c r="O8" s="13">
        <v>4.8099999999999999E-10</v>
      </c>
      <c r="P8" s="759">
        <f t="shared" si="1"/>
        <v>5.0371110399999995E-2</v>
      </c>
      <c r="Q8" s="760">
        <f t="shared" si="2"/>
        <v>1.1668957091899442E-2</v>
      </c>
      <c r="R8" s="761">
        <f t="shared" si="3"/>
        <v>3.5863674514331202E-5</v>
      </c>
      <c r="T8" s="1141"/>
      <c r="U8" s="1141"/>
      <c r="V8" s="1141"/>
      <c r="W8" s="1143"/>
      <c r="X8" s="1141"/>
      <c r="Y8" s="631"/>
      <c r="Z8" s="629"/>
      <c r="AA8" s="629"/>
      <c r="AB8" s="629"/>
      <c r="AC8" s="632"/>
    </row>
    <row r="9" spans="1:29" x14ac:dyDescent="0.25">
      <c r="A9" s="19">
        <v>2</v>
      </c>
      <c r="B9" s="1">
        <v>165551201</v>
      </c>
      <c r="C9" s="2" t="s">
        <v>23</v>
      </c>
      <c r="D9" s="2" t="s">
        <v>17</v>
      </c>
      <c r="E9" s="1" t="s">
        <v>37</v>
      </c>
      <c r="F9" s="37" t="s">
        <v>38</v>
      </c>
      <c r="G9" s="307">
        <v>412011</v>
      </c>
      <c r="H9" s="51">
        <v>-1.399689E-2</v>
      </c>
      <c r="I9" s="51">
        <v>3.4884199999999999E-3</v>
      </c>
      <c r="J9" s="13">
        <v>6.0109999999999999E-5</v>
      </c>
      <c r="K9" s="19" t="s">
        <v>1065</v>
      </c>
      <c r="L9" s="307">
        <f t="shared" si="0"/>
        <v>389883</v>
      </c>
      <c r="M9" s="177">
        <v>2.6200000000000001E-2</v>
      </c>
      <c r="N9" s="177">
        <v>3.5000000000000001E-3</v>
      </c>
      <c r="O9" s="13">
        <v>1.59E-13</v>
      </c>
      <c r="P9" s="759">
        <f t="shared" si="1"/>
        <v>1.9341523900000001E-2</v>
      </c>
      <c r="Q9" s="760">
        <f t="shared" si="2"/>
        <v>3.8950988036949258E-3</v>
      </c>
      <c r="R9" s="761">
        <f t="shared" si="3"/>
        <v>1.7646514918152933E-6</v>
      </c>
      <c r="T9" s="1141"/>
      <c r="U9" s="1141"/>
      <c r="V9" s="1141"/>
      <c r="W9" s="1143"/>
      <c r="X9" s="1141"/>
      <c r="Y9" s="631"/>
      <c r="Z9" s="629"/>
      <c r="AA9" s="629"/>
      <c r="AB9" s="629"/>
      <c r="AC9" s="632"/>
    </row>
    <row r="10" spans="1:29" x14ac:dyDescent="0.25">
      <c r="A10" s="19">
        <v>2</v>
      </c>
      <c r="B10" s="1">
        <v>188343497</v>
      </c>
      <c r="C10" s="2" t="s">
        <v>23</v>
      </c>
      <c r="D10" s="2" t="s">
        <v>17</v>
      </c>
      <c r="E10" s="1" t="s">
        <v>42</v>
      </c>
      <c r="F10" s="37" t="s">
        <v>43</v>
      </c>
      <c r="G10" s="307">
        <v>494861</v>
      </c>
      <c r="H10" s="51">
        <v>1.0543739999999999E-2</v>
      </c>
      <c r="I10" s="51">
        <v>2.2582000000000001E-3</v>
      </c>
      <c r="J10" s="13">
        <v>3.0249999999999998E-6</v>
      </c>
      <c r="K10" s="19"/>
      <c r="L10" s="307">
        <f t="shared" si="0"/>
        <v>452638</v>
      </c>
      <c r="M10" s="177">
        <v>1.6400000000000001E-2</v>
      </c>
      <c r="N10" s="177">
        <v>2.3E-3</v>
      </c>
      <c r="O10" s="13">
        <v>3.0099999999999999E-12</v>
      </c>
      <c r="P10" s="759">
        <f t="shared" si="1"/>
        <v>2.1566432600000001E-2</v>
      </c>
      <c r="Q10" s="760">
        <f t="shared" si="2"/>
        <v>2.5523287571008559E-3</v>
      </c>
      <c r="R10" s="761">
        <f t="shared" si="3"/>
        <v>1.2506215917054883E-16</v>
      </c>
      <c r="T10" s="1141"/>
      <c r="U10" s="1141"/>
      <c r="V10" s="1141"/>
      <c r="W10" s="1143"/>
      <c r="X10" s="1141"/>
      <c r="Y10" s="631"/>
      <c r="Z10" s="629"/>
      <c r="AA10" s="629"/>
      <c r="AB10" s="629"/>
      <c r="AC10" s="632"/>
    </row>
    <row r="11" spans="1:29" x14ac:dyDescent="0.25">
      <c r="A11" s="19">
        <v>3</v>
      </c>
      <c r="B11" s="1">
        <v>50597092</v>
      </c>
      <c r="C11" s="2" t="s">
        <v>24</v>
      </c>
      <c r="D11" s="2" t="s">
        <v>16</v>
      </c>
      <c r="E11" s="1" t="s">
        <v>47</v>
      </c>
      <c r="F11" s="37" t="s">
        <v>48</v>
      </c>
      <c r="G11" s="307">
        <v>505512</v>
      </c>
      <c r="H11" s="51">
        <v>-1.10939E-2</v>
      </c>
      <c r="I11" s="51">
        <v>2.9927500000000002E-3</v>
      </c>
      <c r="J11" s="13">
        <v>2.0979000000000001E-4</v>
      </c>
      <c r="K11" s="19" t="s">
        <v>1065</v>
      </c>
      <c r="L11" s="307">
        <f t="shared" si="0"/>
        <v>455424</v>
      </c>
      <c r="M11" s="177">
        <v>1.6299999999999999E-2</v>
      </c>
      <c r="N11" s="177">
        <v>3.0999999999999999E-3</v>
      </c>
      <c r="O11" s="13">
        <v>1.8699999999999999E-7</v>
      </c>
      <c r="P11" s="759">
        <f t="shared" si="1"/>
        <v>1.0863988999999998E-2</v>
      </c>
      <c r="Q11" s="760">
        <f t="shared" si="2"/>
        <v>3.4293539144066554E-3</v>
      </c>
      <c r="R11" s="1099">
        <f t="shared" si="3"/>
        <v>2.6403022058747103E-3</v>
      </c>
      <c r="T11" s="1141"/>
      <c r="U11" s="1141"/>
      <c r="V11" s="1141"/>
      <c r="W11" s="1143"/>
      <c r="X11" s="1141"/>
      <c r="Y11" s="631"/>
      <c r="Z11" s="629"/>
      <c r="AA11" s="629"/>
      <c r="AB11" s="629"/>
      <c r="AC11" s="632"/>
    </row>
    <row r="12" spans="1:29" x14ac:dyDescent="0.25">
      <c r="A12" s="19">
        <v>3</v>
      </c>
      <c r="B12" s="1">
        <v>52558008</v>
      </c>
      <c r="C12" s="2" t="s">
        <v>23</v>
      </c>
      <c r="D12" s="2" t="s">
        <v>17</v>
      </c>
      <c r="E12" s="1" t="s">
        <v>51</v>
      </c>
      <c r="F12" s="37" t="s">
        <v>915</v>
      </c>
      <c r="G12" s="307">
        <v>514656</v>
      </c>
      <c r="H12" s="51">
        <v>-1.161071E-2</v>
      </c>
      <c r="I12" s="51">
        <v>2.1427199999999999E-3</v>
      </c>
      <c r="J12" s="13">
        <v>6.004E-8</v>
      </c>
      <c r="K12" s="19" t="s">
        <v>1065</v>
      </c>
      <c r="L12" s="307">
        <f t="shared" si="0"/>
        <v>470111</v>
      </c>
      <c r="M12" s="177">
        <v>1.8700000000000001E-2</v>
      </c>
      <c r="N12" s="177">
        <v>2.2000000000000001E-3</v>
      </c>
      <c r="O12" s="13">
        <v>5.4700000000000002E-18</v>
      </c>
      <c r="P12" s="759">
        <f t="shared" si="1"/>
        <v>1.3010752100000002E-2</v>
      </c>
      <c r="Q12" s="760">
        <f t="shared" si="2"/>
        <v>2.4376954043759938E-3</v>
      </c>
      <c r="R12" s="761">
        <f t="shared" si="3"/>
        <v>2.6004460226290262E-7</v>
      </c>
      <c r="T12" s="1141"/>
      <c r="U12" s="1141"/>
      <c r="V12" s="1141"/>
      <c r="W12" s="1143"/>
      <c r="X12" s="1141"/>
      <c r="Y12" s="631"/>
      <c r="Z12" s="629"/>
      <c r="AA12" s="629"/>
      <c r="AB12" s="629"/>
      <c r="AC12" s="632"/>
    </row>
    <row r="13" spans="1:29" x14ac:dyDescent="0.25">
      <c r="A13" s="19">
        <v>3</v>
      </c>
      <c r="B13" s="1">
        <v>52833805</v>
      </c>
      <c r="C13" s="2" t="s">
        <v>17</v>
      </c>
      <c r="D13" s="2" t="s">
        <v>16</v>
      </c>
      <c r="E13" s="1" t="s">
        <v>55</v>
      </c>
      <c r="F13" s="37" t="s">
        <v>916</v>
      </c>
      <c r="G13" s="307">
        <v>502279</v>
      </c>
      <c r="H13" s="51">
        <v>-1.434361E-2</v>
      </c>
      <c r="I13" s="51">
        <v>2.1554399999999998E-3</v>
      </c>
      <c r="J13" s="13">
        <v>2.8409999999999999E-11</v>
      </c>
      <c r="K13" s="19" t="s">
        <v>1065</v>
      </c>
      <c r="L13" s="307">
        <f t="shared" si="0"/>
        <v>452150</v>
      </c>
      <c r="M13" s="177">
        <v>1.52E-2</v>
      </c>
      <c r="N13" s="177">
        <v>2.2000000000000001E-3</v>
      </c>
      <c r="O13" s="13">
        <v>1.56E-12</v>
      </c>
      <c r="P13" s="759">
        <f t="shared" si="1"/>
        <v>8.1716311E-3</v>
      </c>
      <c r="Q13" s="760">
        <f t="shared" si="2"/>
        <v>2.4403863986310363E-3</v>
      </c>
      <c r="R13" s="1099">
        <f t="shared" si="3"/>
        <v>1.466083269140629E-3</v>
      </c>
      <c r="T13" s="1141"/>
      <c r="U13" s="1141"/>
      <c r="V13" s="1141"/>
      <c r="W13" s="1143"/>
      <c r="X13" s="1141"/>
      <c r="Y13" s="631"/>
      <c r="Z13" s="629"/>
      <c r="AA13" s="629"/>
      <c r="AB13" s="629"/>
      <c r="AC13" s="632"/>
    </row>
    <row r="14" spans="1:29" x14ac:dyDescent="0.25">
      <c r="A14" s="19">
        <v>3</v>
      </c>
      <c r="B14" s="1">
        <v>129137188</v>
      </c>
      <c r="C14" s="2" t="s">
        <v>17</v>
      </c>
      <c r="D14" s="2" t="s">
        <v>23</v>
      </c>
      <c r="E14" s="1" t="s">
        <v>58</v>
      </c>
      <c r="F14" s="37" t="s">
        <v>917</v>
      </c>
      <c r="G14" s="307">
        <v>526508</v>
      </c>
      <c r="H14" s="51">
        <v>-5.0115699999999999E-3</v>
      </c>
      <c r="I14" s="51">
        <v>4.1824499999999999E-3</v>
      </c>
      <c r="J14" s="13">
        <v>0.23082415000000001</v>
      </c>
      <c r="K14" s="19"/>
      <c r="L14" s="307">
        <f t="shared" si="0"/>
        <v>476382</v>
      </c>
      <c r="M14" s="177">
        <v>3.5700000000000003E-2</v>
      </c>
      <c r="N14" s="177">
        <v>4.3E-3</v>
      </c>
      <c r="O14" s="13">
        <v>8.3000000000000005E-17</v>
      </c>
      <c r="P14" s="759">
        <f t="shared" si="1"/>
        <v>3.3244330700000005E-2</v>
      </c>
      <c r="Q14" s="760">
        <f t="shared" si="2"/>
        <v>4.7634065971109635E-3</v>
      </c>
      <c r="R14" s="761">
        <f t="shared" si="3"/>
        <v>1.0570911013350948E-11</v>
      </c>
      <c r="T14" s="1141"/>
      <c r="U14" s="1141"/>
      <c r="V14" s="1141"/>
      <c r="W14" s="1143"/>
      <c r="X14" s="1141"/>
      <c r="Y14" s="631"/>
      <c r="Z14" s="629"/>
      <c r="AA14" s="629"/>
      <c r="AB14" s="629"/>
      <c r="AC14" s="632"/>
    </row>
    <row r="15" spans="1:29" x14ac:dyDescent="0.25">
      <c r="A15" s="19">
        <v>3</v>
      </c>
      <c r="B15" s="1">
        <v>129284818</v>
      </c>
      <c r="C15" s="2" t="s">
        <v>16</v>
      </c>
      <c r="D15" s="2" t="s">
        <v>17</v>
      </c>
      <c r="E15" s="1" t="s">
        <v>62</v>
      </c>
      <c r="F15" s="37" t="s">
        <v>216</v>
      </c>
      <c r="G15" s="307">
        <v>526508</v>
      </c>
      <c r="H15" s="51">
        <v>6.2534999999999999E-4</v>
      </c>
      <c r="I15" s="51">
        <v>2.3312099999999998E-3</v>
      </c>
      <c r="J15" s="13">
        <v>0.78850549999999997</v>
      </c>
      <c r="K15" s="19"/>
      <c r="L15" s="307">
        <f t="shared" si="0"/>
        <v>476338</v>
      </c>
      <c r="M15" s="177">
        <v>1.5599999999999999E-2</v>
      </c>
      <c r="N15" s="177">
        <v>2.3999999999999998E-3</v>
      </c>
      <c r="O15" s="13">
        <v>9.1599999999999999E-11</v>
      </c>
      <c r="P15" s="759">
        <f t="shared" si="1"/>
        <v>1.59064215E-2</v>
      </c>
      <c r="Q15" s="760">
        <f t="shared" si="2"/>
        <v>2.6579753703505999E-3</v>
      </c>
      <c r="R15" s="761">
        <f t="shared" si="3"/>
        <v>6.6707330921400355E-9</v>
      </c>
      <c r="T15" s="1141"/>
      <c r="U15" s="1141"/>
      <c r="V15" s="1141"/>
      <c r="W15" s="1143"/>
      <c r="X15" s="1141"/>
      <c r="Y15" s="631"/>
      <c r="Z15" s="629"/>
      <c r="AA15" s="629"/>
      <c r="AB15" s="629"/>
      <c r="AC15" s="632"/>
    </row>
    <row r="16" spans="1:29" x14ac:dyDescent="0.25">
      <c r="A16" s="19">
        <v>4</v>
      </c>
      <c r="B16" s="1">
        <v>89625427</v>
      </c>
      <c r="C16" s="2" t="s">
        <v>24</v>
      </c>
      <c r="D16" s="2" t="s">
        <v>17</v>
      </c>
      <c r="E16" s="1" t="s">
        <v>65</v>
      </c>
      <c r="F16" s="37" t="s">
        <v>918</v>
      </c>
      <c r="G16" s="307">
        <v>496120</v>
      </c>
      <c r="H16" s="51">
        <v>-1.1374499999999999E-2</v>
      </c>
      <c r="I16" s="51">
        <v>2.81598E-3</v>
      </c>
      <c r="J16" s="13">
        <v>5.3619999999999998E-5</v>
      </c>
      <c r="K16" s="19" t="s">
        <v>1065</v>
      </c>
      <c r="L16" s="307">
        <f t="shared" si="0"/>
        <v>446080</v>
      </c>
      <c r="M16" s="177">
        <v>2.06E-2</v>
      </c>
      <c r="N16" s="177">
        <v>2.8999999999999998E-3</v>
      </c>
      <c r="O16" s="13">
        <v>1.52E-12</v>
      </c>
      <c r="P16" s="759">
        <f t="shared" si="1"/>
        <v>1.5026495000000001E-2</v>
      </c>
      <c r="Q16" s="760">
        <f t="shared" si="2"/>
        <v>3.2115310026266347E-3</v>
      </c>
      <c r="R16" s="761">
        <f t="shared" si="3"/>
        <v>7.0316981141360374E-6</v>
      </c>
      <c r="T16" s="1141"/>
      <c r="U16" s="1141"/>
      <c r="V16" s="1141"/>
      <c r="W16" s="1143"/>
      <c r="X16" s="1141"/>
      <c r="Y16" s="631"/>
      <c r="Z16" s="629"/>
      <c r="AA16" s="629"/>
      <c r="AB16" s="629"/>
      <c r="AC16" s="632"/>
    </row>
    <row r="17" spans="1:29" x14ac:dyDescent="0.25">
      <c r="A17" s="19">
        <v>4</v>
      </c>
      <c r="B17" s="1">
        <v>89668859</v>
      </c>
      <c r="C17" s="2" t="s">
        <v>17</v>
      </c>
      <c r="D17" s="2" t="s">
        <v>23</v>
      </c>
      <c r="E17" s="1" t="s">
        <v>69</v>
      </c>
      <c r="F17" s="37" t="s">
        <v>919</v>
      </c>
      <c r="G17" s="307">
        <v>526508</v>
      </c>
      <c r="H17" s="51">
        <v>-1.0996880000000001E-2</v>
      </c>
      <c r="I17" s="51">
        <v>2.59575E-3</v>
      </c>
      <c r="J17" s="13">
        <v>2.27E-5</v>
      </c>
      <c r="K17" s="19" t="s">
        <v>1065</v>
      </c>
      <c r="L17" s="307">
        <f t="shared" si="0"/>
        <v>476383</v>
      </c>
      <c r="M17" s="177">
        <v>1.5900000000000001E-2</v>
      </c>
      <c r="N17" s="177">
        <v>2.7000000000000001E-3</v>
      </c>
      <c r="O17" s="13">
        <v>5.0000000000000001E-9</v>
      </c>
      <c r="P17" s="759">
        <f t="shared" si="1"/>
        <v>1.0511528800000001E-2</v>
      </c>
      <c r="Q17" s="760">
        <f t="shared" si="2"/>
        <v>2.9845894402423679E-3</v>
      </c>
      <c r="R17" s="761">
        <f t="shared" si="3"/>
        <v>8.0799864436618257E-4</v>
      </c>
      <c r="T17" s="1141"/>
      <c r="U17" s="1141"/>
      <c r="V17" s="1141"/>
      <c r="W17" s="1143"/>
      <c r="X17" s="1141"/>
      <c r="Y17" s="631"/>
      <c r="Z17" s="629"/>
      <c r="AA17" s="629"/>
      <c r="AB17" s="629"/>
      <c r="AC17" s="632"/>
    </row>
    <row r="18" spans="1:29" x14ac:dyDescent="0.25">
      <c r="A18" s="19">
        <v>4</v>
      </c>
      <c r="B18" s="1">
        <v>120528327</v>
      </c>
      <c r="C18" s="2" t="s">
        <v>24</v>
      </c>
      <c r="D18" s="2" t="s">
        <v>16</v>
      </c>
      <c r="E18" s="1" t="s">
        <v>72</v>
      </c>
      <c r="F18" s="37" t="s">
        <v>73</v>
      </c>
      <c r="G18" s="307">
        <v>502638</v>
      </c>
      <c r="H18" s="51">
        <v>-6.9679999999999997E-5</v>
      </c>
      <c r="I18" s="51">
        <v>2.6137999999999999E-3</v>
      </c>
      <c r="J18" s="13">
        <v>0.97873206999999995</v>
      </c>
      <c r="K18" s="19"/>
      <c r="L18" s="307">
        <f t="shared" si="0"/>
        <v>461521</v>
      </c>
      <c r="M18" s="177">
        <v>1.4999999999999999E-2</v>
      </c>
      <c r="N18" s="177">
        <v>2.7000000000000001E-3</v>
      </c>
      <c r="O18" s="13">
        <v>2.6099999999999999E-8</v>
      </c>
      <c r="P18" s="759">
        <f t="shared" si="1"/>
        <v>1.49658568E-2</v>
      </c>
      <c r="Q18" s="760">
        <f t="shared" si="2"/>
        <v>2.9883693380577977E-3</v>
      </c>
      <c r="R18" s="761">
        <f t="shared" si="3"/>
        <v>1.4281317961400477E-6</v>
      </c>
      <c r="T18" s="1141"/>
      <c r="U18" s="1141"/>
      <c r="V18" s="1141"/>
      <c r="W18" s="1143"/>
      <c r="X18" s="1141"/>
      <c r="Y18" s="631"/>
      <c r="Z18" s="629"/>
      <c r="AA18" s="629"/>
      <c r="AB18" s="629"/>
      <c r="AC18" s="632"/>
    </row>
    <row r="19" spans="1:29" x14ac:dyDescent="0.25">
      <c r="A19" s="19">
        <v>5</v>
      </c>
      <c r="B19" s="1">
        <v>176516631</v>
      </c>
      <c r="C19" s="2" t="s">
        <v>16</v>
      </c>
      <c r="D19" s="2" t="s">
        <v>24</v>
      </c>
      <c r="E19" s="1" t="s">
        <v>76</v>
      </c>
      <c r="F19" s="37" t="s">
        <v>77</v>
      </c>
      <c r="G19" s="307">
        <v>505512</v>
      </c>
      <c r="H19" s="51">
        <v>-8.5431499999999994E-3</v>
      </c>
      <c r="I19" s="51">
        <v>2.4542600000000002E-3</v>
      </c>
      <c r="J19" s="13">
        <v>4.9965000000000003E-4</v>
      </c>
      <c r="K19" s="19" t="s">
        <v>1065</v>
      </c>
      <c r="L19" s="307">
        <f t="shared" si="0"/>
        <v>455246</v>
      </c>
      <c r="M19" s="177">
        <v>2.2599999999999999E-2</v>
      </c>
      <c r="N19" s="177">
        <v>2.5000000000000001E-3</v>
      </c>
      <c r="O19" s="13">
        <v>1.69E-19</v>
      </c>
      <c r="P19" s="759">
        <f t="shared" si="1"/>
        <v>1.8413856499999999E-2</v>
      </c>
      <c r="Q19" s="760">
        <f t="shared" si="2"/>
        <v>2.7742055537826973E-3</v>
      </c>
      <c r="R19" s="761">
        <f t="shared" si="3"/>
        <v>1.0817159702427457E-10</v>
      </c>
      <c r="T19" s="1141"/>
      <c r="U19" s="1141"/>
      <c r="V19" s="1141"/>
      <c r="W19" s="1143"/>
      <c r="X19" s="1141"/>
      <c r="Y19" s="631"/>
      <c r="Z19" s="629"/>
      <c r="AA19" s="629"/>
      <c r="AB19" s="629"/>
      <c r="AC19" s="632"/>
    </row>
    <row r="20" spans="1:29" x14ac:dyDescent="0.25">
      <c r="A20" s="19">
        <v>6</v>
      </c>
      <c r="B20" s="1">
        <v>7211818</v>
      </c>
      <c r="C20" s="2" t="s">
        <v>24</v>
      </c>
      <c r="D20" s="2" t="s">
        <v>16</v>
      </c>
      <c r="E20" s="1" t="s">
        <v>81</v>
      </c>
      <c r="F20" s="37" t="s">
        <v>82</v>
      </c>
      <c r="G20" s="307">
        <v>501135</v>
      </c>
      <c r="H20" s="51">
        <v>8.3628999999999995E-4</v>
      </c>
      <c r="I20" s="51">
        <v>2.08508E-3</v>
      </c>
      <c r="J20" s="13">
        <v>0.68835994</v>
      </c>
      <c r="K20" s="19"/>
      <c r="L20" s="307">
        <f t="shared" si="0"/>
        <v>451044</v>
      </c>
      <c r="M20" s="177">
        <v>1.7100000000000001E-2</v>
      </c>
      <c r="N20" s="177">
        <v>2.2000000000000001E-3</v>
      </c>
      <c r="O20" s="13">
        <v>3.9000000000000003E-15</v>
      </c>
      <c r="P20" s="759">
        <f t="shared" si="1"/>
        <v>1.7509782099999999E-2</v>
      </c>
      <c r="Q20" s="760">
        <f t="shared" si="2"/>
        <v>2.4256646143679139E-3</v>
      </c>
      <c r="R20" s="761">
        <f t="shared" si="3"/>
        <v>1.9315989990817639E-12</v>
      </c>
      <c r="T20" s="1141"/>
      <c r="U20" s="1141"/>
      <c r="V20" s="1141"/>
      <c r="W20" s="1143"/>
      <c r="X20" s="1141"/>
      <c r="Y20" s="631"/>
      <c r="Z20" s="629"/>
      <c r="AA20" s="629"/>
      <c r="AB20" s="629"/>
      <c r="AC20" s="632"/>
    </row>
    <row r="21" spans="1:29" x14ac:dyDescent="0.25">
      <c r="A21" s="19">
        <v>6</v>
      </c>
      <c r="B21" s="1">
        <v>26108117</v>
      </c>
      <c r="C21" s="2" t="s">
        <v>23</v>
      </c>
      <c r="D21" s="2" t="s">
        <v>17</v>
      </c>
      <c r="E21" s="1" t="s">
        <v>86</v>
      </c>
      <c r="F21" s="37" t="s">
        <v>87</v>
      </c>
      <c r="G21" s="307">
        <v>379776</v>
      </c>
      <c r="H21" s="51">
        <v>-1.8222450000000001E-2</v>
      </c>
      <c r="I21" s="51">
        <v>3.8548010000000001E-2</v>
      </c>
      <c r="J21" s="13">
        <v>0.63641230000000004</v>
      </c>
      <c r="K21" s="19"/>
      <c r="L21" s="307">
        <f t="shared" si="0"/>
        <v>217995</v>
      </c>
      <c r="M21" s="177">
        <v>0.22900000000000001</v>
      </c>
      <c r="N21" s="177">
        <v>4.1799999999999997E-2</v>
      </c>
      <c r="O21" s="13">
        <v>4.3000000000000001E-8</v>
      </c>
      <c r="P21" s="759">
        <f t="shared" si="1"/>
        <v>0.2200709995</v>
      </c>
      <c r="Q21" s="760">
        <f t="shared" si="2"/>
        <v>4.5869558237440218E-2</v>
      </c>
      <c r="R21" s="761">
        <f t="shared" si="3"/>
        <v>4.0041661098611169E-6</v>
      </c>
      <c r="T21" s="1141"/>
      <c r="U21" s="1141"/>
      <c r="V21" s="1141"/>
      <c r="W21" s="1143"/>
      <c r="X21" s="1141"/>
      <c r="Y21" s="631"/>
      <c r="Z21" s="629"/>
      <c r="AA21" s="629"/>
      <c r="AB21" s="629"/>
      <c r="AC21" s="632"/>
    </row>
    <row r="22" spans="1:29" x14ac:dyDescent="0.25">
      <c r="A22" s="19">
        <v>6</v>
      </c>
      <c r="B22" s="177">
        <v>34827085</v>
      </c>
      <c r="C22" s="14" t="s">
        <v>16</v>
      </c>
      <c r="D22" s="14" t="s">
        <v>23</v>
      </c>
      <c r="E22" s="177" t="s">
        <v>90</v>
      </c>
      <c r="F22" s="39" t="s">
        <v>91</v>
      </c>
      <c r="G22" s="307">
        <v>246643</v>
      </c>
      <c r="H22" s="51">
        <v>-2.0871580000000001E-2</v>
      </c>
      <c r="I22" s="51">
        <v>4.1004300000000004E-3</v>
      </c>
      <c r="J22" s="13">
        <v>3.579E-7</v>
      </c>
      <c r="K22" s="19" t="s">
        <v>1065</v>
      </c>
      <c r="L22" s="307">
        <f t="shared" si="0"/>
        <v>309684</v>
      </c>
      <c r="M22" s="177">
        <v>2.07E-2</v>
      </c>
      <c r="N22" s="177">
        <v>3.5999999999999999E-3</v>
      </c>
      <c r="O22" s="13">
        <v>1.2E-8</v>
      </c>
      <c r="P22" s="759">
        <f t="shared" si="1"/>
        <v>1.04729258E-2</v>
      </c>
      <c r="Q22" s="760">
        <f t="shared" si="2"/>
        <v>4.1227330300414181E-3</v>
      </c>
      <c r="R22" s="1099">
        <f t="shared" si="3"/>
        <v>1.5836023386278496E-2</v>
      </c>
      <c r="T22" s="1141"/>
      <c r="U22" s="1141"/>
      <c r="V22" s="1141"/>
      <c r="W22" s="1143"/>
      <c r="X22" s="1141"/>
      <c r="Y22" s="631"/>
      <c r="Z22" s="629"/>
      <c r="AA22" s="629"/>
      <c r="AB22" s="629"/>
      <c r="AC22" s="632"/>
    </row>
    <row r="23" spans="1:29" x14ac:dyDescent="0.25">
      <c r="A23" s="19">
        <v>6</v>
      </c>
      <c r="B23" s="1">
        <v>127476516</v>
      </c>
      <c r="C23" s="2" t="s">
        <v>16</v>
      </c>
      <c r="D23" s="2" t="s">
        <v>24</v>
      </c>
      <c r="E23" s="1" t="s">
        <v>95</v>
      </c>
      <c r="F23" s="37" t="s">
        <v>923</v>
      </c>
      <c r="G23" s="307">
        <v>526508</v>
      </c>
      <c r="H23" s="51">
        <v>1.2535000000000001E-4</v>
      </c>
      <c r="I23" s="51">
        <v>2.0346600000000002E-3</v>
      </c>
      <c r="J23" s="13">
        <v>0.95087480999999996</v>
      </c>
      <c r="K23" s="19"/>
      <c r="L23" s="307">
        <f t="shared" si="0"/>
        <v>476358</v>
      </c>
      <c r="M23" s="177">
        <v>3.0499999999999999E-2</v>
      </c>
      <c r="N23" s="177">
        <v>2.0999999999999999E-3</v>
      </c>
      <c r="O23" s="13">
        <v>2.5799999999999998E-47</v>
      </c>
      <c r="P23" s="759">
        <f t="shared" si="1"/>
        <v>3.0561421499999998E-2</v>
      </c>
      <c r="Q23" s="760">
        <f t="shared" si="2"/>
        <v>2.3246453277598199E-3</v>
      </c>
      <c r="R23" s="761">
        <f t="shared" si="3"/>
        <v>1.1751505551110195E-38</v>
      </c>
      <c r="T23" s="1141"/>
      <c r="U23" s="1141"/>
      <c r="V23" s="1141"/>
      <c r="W23" s="1143"/>
      <c r="X23" s="1141"/>
      <c r="Y23" s="631"/>
      <c r="Z23" s="629"/>
      <c r="AA23" s="629"/>
      <c r="AB23" s="629"/>
      <c r="AC23" s="632"/>
    </row>
    <row r="24" spans="1:29" x14ac:dyDescent="0.25">
      <c r="A24" s="19">
        <v>6</v>
      </c>
      <c r="B24" s="1">
        <v>127767954</v>
      </c>
      <c r="C24" s="2" t="s">
        <v>16</v>
      </c>
      <c r="D24" s="2" t="s">
        <v>24</v>
      </c>
      <c r="E24" s="1" t="s">
        <v>99</v>
      </c>
      <c r="F24" s="1143" t="s">
        <v>924</v>
      </c>
      <c r="G24" s="307">
        <v>417852</v>
      </c>
      <c r="H24" s="51">
        <v>-1.9279859999999999E-2</v>
      </c>
      <c r="I24" s="51">
        <v>1.127922E-2</v>
      </c>
      <c r="J24" s="13">
        <v>8.7390759999999998E-2</v>
      </c>
      <c r="K24" s="19"/>
      <c r="L24" s="307">
        <f t="shared" si="0"/>
        <v>391469</v>
      </c>
      <c r="M24" s="177">
        <v>0.1033</v>
      </c>
      <c r="N24" s="177">
        <v>1.1599999999999999E-2</v>
      </c>
      <c r="O24" s="13">
        <v>6.7700000000000004E-19</v>
      </c>
      <c r="P24" s="759">
        <f t="shared" si="1"/>
        <v>9.38528686E-2</v>
      </c>
      <c r="Q24" s="760">
        <f t="shared" si="2"/>
        <v>1.2849346870343132E-2</v>
      </c>
      <c r="R24" s="761">
        <f t="shared" si="3"/>
        <v>1.0378697086639511E-12</v>
      </c>
      <c r="T24" s="1141"/>
      <c r="U24" s="1141"/>
      <c r="V24" s="1141"/>
      <c r="W24" s="1143"/>
      <c r="X24" s="1141"/>
      <c r="Y24" s="631"/>
      <c r="Z24" s="629"/>
      <c r="AA24" s="629"/>
      <c r="AB24" s="629"/>
      <c r="AC24" s="632"/>
    </row>
    <row r="25" spans="1:29" x14ac:dyDescent="0.25">
      <c r="A25" s="19">
        <v>7</v>
      </c>
      <c r="B25" s="1">
        <v>6449496</v>
      </c>
      <c r="C25" s="2" t="s">
        <v>17</v>
      </c>
      <c r="D25" s="2" t="s">
        <v>23</v>
      </c>
      <c r="E25" s="1" t="s">
        <v>102</v>
      </c>
      <c r="F25" s="37" t="s">
        <v>103</v>
      </c>
      <c r="G25" s="307">
        <v>526508</v>
      </c>
      <c r="H25" s="51">
        <v>2.2100499999999999E-3</v>
      </c>
      <c r="I25" s="51">
        <v>2.4395200000000001E-3</v>
      </c>
      <c r="J25" s="13">
        <v>0.36496779000000001</v>
      </c>
      <c r="K25" s="19"/>
      <c r="L25" s="307">
        <f t="shared" si="0"/>
        <v>475748</v>
      </c>
      <c r="M25" s="177">
        <v>1.3599999999999999E-2</v>
      </c>
      <c r="N25" s="177">
        <v>2.5000000000000001E-3</v>
      </c>
      <c r="O25" s="13">
        <v>6.2400000000000003E-8</v>
      </c>
      <c r="P25" s="759">
        <f t="shared" si="1"/>
        <v>1.46829245E-2</v>
      </c>
      <c r="Q25" s="760">
        <f t="shared" si="2"/>
        <v>2.7710822804599363E-3</v>
      </c>
      <c r="R25" s="761">
        <f t="shared" si="3"/>
        <v>3.1945500565711039E-7</v>
      </c>
      <c r="T25" s="1141"/>
      <c r="U25" s="1141"/>
      <c r="V25" s="1141"/>
      <c r="W25" s="1143"/>
      <c r="X25" s="1141"/>
      <c r="Y25" s="631"/>
      <c r="Z25" s="629"/>
      <c r="AA25" s="629"/>
      <c r="AB25" s="629"/>
      <c r="AC25" s="632"/>
    </row>
    <row r="26" spans="1:29" x14ac:dyDescent="0.25">
      <c r="A26" s="19">
        <v>7</v>
      </c>
      <c r="B26" s="1">
        <v>73012042</v>
      </c>
      <c r="C26" s="2" t="s">
        <v>24</v>
      </c>
      <c r="D26" s="2" t="s">
        <v>16</v>
      </c>
      <c r="E26" s="1" t="s">
        <v>106</v>
      </c>
      <c r="F26" s="37" t="s">
        <v>107</v>
      </c>
      <c r="G26" s="307">
        <v>501135</v>
      </c>
      <c r="H26" s="51">
        <v>-4.2329999999999998E-3</v>
      </c>
      <c r="I26" s="51">
        <v>3.2909800000000002E-3</v>
      </c>
      <c r="J26" s="13">
        <v>0.19835786999999999</v>
      </c>
      <c r="K26" s="19"/>
      <c r="L26" s="307">
        <f t="shared" si="0"/>
        <v>451158</v>
      </c>
      <c r="M26" s="177">
        <v>0.02</v>
      </c>
      <c r="N26" s="177">
        <v>3.3E-3</v>
      </c>
      <c r="O26" s="13">
        <v>1.7800000000000001E-9</v>
      </c>
      <c r="P26" s="759">
        <f t="shared" si="1"/>
        <v>1.792583E-2</v>
      </c>
      <c r="Q26" s="760">
        <f t="shared" si="2"/>
        <v>3.6729300158636347E-3</v>
      </c>
      <c r="R26" s="761">
        <f t="shared" si="3"/>
        <v>2.6826512803841261E-6</v>
      </c>
      <c r="T26" s="1141"/>
      <c r="U26" s="1141"/>
      <c r="V26" s="1141"/>
      <c r="W26" s="1143"/>
      <c r="X26" s="1141"/>
      <c r="Y26" s="631"/>
      <c r="Z26" s="629"/>
      <c r="AA26" s="629"/>
      <c r="AB26" s="629"/>
      <c r="AC26" s="632"/>
    </row>
    <row r="27" spans="1:29" x14ac:dyDescent="0.25">
      <c r="A27" s="19">
        <v>7</v>
      </c>
      <c r="B27" s="1">
        <v>73020337</v>
      </c>
      <c r="C27" s="2" t="s">
        <v>17</v>
      </c>
      <c r="D27" s="2" t="s">
        <v>24</v>
      </c>
      <c r="E27" s="1" t="s">
        <v>111</v>
      </c>
      <c r="F27" s="37" t="s">
        <v>107</v>
      </c>
      <c r="G27" s="307">
        <v>476308</v>
      </c>
      <c r="H27" s="51">
        <v>-6.01609E-3</v>
      </c>
      <c r="I27" s="51">
        <v>3.42304E-3</v>
      </c>
      <c r="J27" s="13">
        <v>7.8827900000000006E-2</v>
      </c>
      <c r="K27" s="19"/>
      <c r="L27" s="307">
        <f t="shared" si="0"/>
        <v>454738</v>
      </c>
      <c r="M27" s="177">
        <v>2.1299999999999999E-2</v>
      </c>
      <c r="N27" s="177">
        <v>3.3999999999999998E-3</v>
      </c>
      <c r="O27" s="13">
        <v>1.9799999999999999E-10</v>
      </c>
      <c r="P27" s="759">
        <f t="shared" si="1"/>
        <v>1.83521159E-2</v>
      </c>
      <c r="Q27" s="760">
        <f t="shared" si="2"/>
        <v>3.7912135790889121E-3</v>
      </c>
      <c r="R27" s="761">
        <f t="shared" si="3"/>
        <v>3.2556719258307861E-6</v>
      </c>
      <c r="T27" s="1141"/>
      <c r="U27" s="1141"/>
      <c r="V27" s="1141"/>
      <c r="W27" s="1143"/>
      <c r="X27" s="1141"/>
      <c r="Y27" s="631"/>
      <c r="Z27" s="629"/>
      <c r="AA27" s="629"/>
      <c r="AB27" s="629"/>
      <c r="AC27" s="632"/>
    </row>
    <row r="28" spans="1:29" x14ac:dyDescent="0.25">
      <c r="A28" s="19">
        <v>10</v>
      </c>
      <c r="B28" s="1">
        <v>95931087</v>
      </c>
      <c r="C28" s="2" t="s">
        <v>23</v>
      </c>
      <c r="D28" s="2" t="s">
        <v>24</v>
      </c>
      <c r="E28" s="1" t="s">
        <v>114</v>
      </c>
      <c r="F28" s="37" t="s">
        <v>115</v>
      </c>
      <c r="G28" s="307">
        <v>526508</v>
      </c>
      <c r="H28" s="51">
        <v>-1.38346E-3</v>
      </c>
      <c r="I28" s="51">
        <v>2.6555099999999998E-3</v>
      </c>
      <c r="J28" s="13">
        <v>0.60238190000000003</v>
      </c>
      <c r="K28" s="19"/>
      <c r="L28" s="307">
        <f t="shared" si="0"/>
        <v>476475</v>
      </c>
      <c r="M28" s="177">
        <v>1.8200000000000001E-2</v>
      </c>
      <c r="N28" s="177">
        <v>2.7000000000000001E-3</v>
      </c>
      <c r="O28" s="13">
        <v>2.5000000000000001E-11</v>
      </c>
      <c r="P28" s="759">
        <f t="shared" si="1"/>
        <v>1.7522104600000001E-2</v>
      </c>
      <c r="Q28" s="760">
        <f t="shared" si="2"/>
        <v>2.9971855430987269E-3</v>
      </c>
      <c r="R28" s="761">
        <f t="shared" si="3"/>
        <v>1.511036715892313E-8</v>
      </c>
      <c r="T28" s="1141"/>
      <c r="U28" s="1141"/>
      <c r="V28" s="1141"/>
      <c r="W28" s="1143"/>
      <c r="X28" s="1141"/>
      <c r="Y28" s="631"/>
      <c r="Z28" s="629"/>
      <c r="AA28" s="629"/>
      <c r="AB28" s="629"/>
      <c r="AC28" s="632"/>
    </row>
    <row r="29" spans="1:29" x14ac:dyDescent="0.25">
      <c r="A29" s="19">
        <v>10</v>
      </c>
      <c r="B29" s="1">
        <v>123279643</v>
      </c>
      <c r="C29" s="2" t="s">
        <v>23</v>
      </c>
      <c r="D29" s="2" t="s">
        <v>17</v>
      </c>
      <c r="E29" s="1" t="s">
        <v>119</v>
      </c>
      <c r="F29" s="37" t="s">
        <v>120</v>
      </c>
      <c r="G29" s="307">
        <v>399072</v>
      </c>
      <c r="H29" s="51">
        <v>6.1625069999999997E-2</v>
      </c>
      <c r="I29" s="51">
        <v>4.7159369999999999E-2</v>
      </c>
      <c r="J29" s="13">
        <v>0.19130078</v>
      </c>
      <c r="K29" s="19"/>
      <c r="L29" s="307">
        <f t="shared" si="0"/>
        <v>236962</v>
      </c>
      <c r="M29" s="177">
        <v>0.25829999999999997</v>
      </c>
      <c r="N29" s="177">
        <v>4.9000000000000002E-2</v>
      </c>
      <c r="O29" s="13">
        <v>1.3799999999999999E-7</v>
      </c>
      <c r="P29" s="759">
        <f t="shared" si="1"/>
        <v>0.28849628429999996</v>
      </c>
      <c r="Q29" s="760">
        <f t="shared" si="2"/>
        <v>5.4175491539340336E-2</v>
      </c>
      <c r="R29" s="761">
        <f t="shared" si="3"/>
        <v>2.7737093864259584E-7</v>
      </c>
      <c r="T29" s="1141"/>
      <c r="U29" s="1141"/>
      <c r="V29" s="1141"/>
      <c r="W29" s="1143"/>
      <c r="X29" s="1141"/>
      <c r="Y29" s="631"/>
      <c r="Z29" s="629"/>
      <c r="AA29" s="629"/>
      <c r="AB29" s="629"/>
      <c r="AC29" s="632"/>
    </row>
    <row r="30" spans="1:29" x14ac:dyDescent="0.25">
      <c r="A30" s="19">
        <v>11</v>
      </c>
      <c r="B30" s="1">
        <v>64031241</v>
      </c>
      <c r="C30" s="2" t="s">
        <v>23</v>
      </c>
      <c r="D30" s="2" t="s">
        <v>17</v>
      </c>
      <c r="E30" s="1" t="s">
        <v>122</v>
      </c>
      <c r="F30" s="37" t="s">
        <v>123</v>
      </c>
      <c r="G30" s="307">
        <v>524754</v>
      </c>
      <c r="H30" s="51">
        <v>-1.7680379999999999E-2</v>
      </c>
      <c r="I30" s="51">
        <v>4.2336700000000001E-3</v>
      </c>
      <c r="J30" s="13">
        <v>2.9649999999999999E-5</v>
      </c>
      <c r="K30" s="19" t="s">
        <v>1065</v>
      </c>
      <c r="L30" s="307">
        <f t="shared" si="0"/>
        <v>476457</v>
      </c>
      <c r="M30" s="177">
        <v>3.39E-2</v>
      </c>
      <c r="N30" s="177">
        <v>4.4000000000000003E-3</v>
      </c>
      <c r="O30" s="13">
        <v>9.1399999999999994E-15</v>
      </c>
      <c r="P30" s="759">
        <f t="shared" si="1"/>
        <v>2.5236613800000002E-2</v>
      </c>
      <c r="Q30" s="760">
        <f t="shared" si="2"/>
        <v>4.8645188042295501E-3</v>
      </c>
      <c r="R30" s="761">
        <f t="shared" si="3"/>
        <v>5.7089137344969218E-7</v>
      </c>
      <c r="T30" s="1141"/>
      <c r="U30" s="1141"/>
      <c r="V30" s="1141"/>
      <c r="W30" s="1143"/>
      <c r="X30" s="1141"/>
      <c r="Y30" s="631"/>
      <c r="Z30" s="629"/>
      <c r="AA30" s="629"/>
      <c r="AB30" s="629"/>
      <c r="AC30" s="632"/>
    </row>
    <row r="31" spans="1:29" x14ac:dyDescent="0.25">
      <c r="A31" s="19">
        <v>11</v>
      </c>
      <c r="B31" s="1">
        <v>65403651</v>
      </c>
      <c r="C31" s="2" t="s">
        <v>17</v>
      </c>
      <c r="D31" s="2" t="s">
        <v>16</v>
      </c>
      <c r="E31" s="1" t="s">
        <v>127</v>
      </c>
      <c r="F31" s="37" t="s">
        <v>128</v>
      </c>
      <c r="G31" s="307">
        <v>502531</v>
      </c>
      <c r="H31" s="51">
        <v>-1.354816E-2</v>
      </c>
      <c r="I31" s="51">
        <v>5.0267100000000002E-3</v>
      </c>
      <c r="J31" s="13">
        <v>7.0339199999999999E-3</v>
      </c>
      <c r="K31" s="19" t="s">
        <v>1065</v>
      </c>
      <c r="L31" s="307">
        <f t="shared" si="0"/>
        <v>448861</v>
      </c>
      <c r="M31" s="177">
        <v>2.92E-2</v>
      </c>
      <c r="N31" s="177">
        <v>5.1999999999999998E-3</v>
      </c>
      <c r="O31" s="13">
        <v>1.7500000000000001E-8</v>
      </c>
      <c r="P31" s="759">
        <f t="shared" si="1"/>
        <v>2.2561401599999999E-2</v>
      </c>
      <c r="Q31" s="760">
        <f t="shared" si="2"/>
        <v>5.7538510584760894E-3</v>
      </c>
      <c r="R31" s="761">
        <f t="shared" si="3"/>
        <v>1.8292488953284463E-4</v>
      </c>
      <c r="T31" s="1141"/>
      <c r="U31" s="1141"/>
      <c r="V31" s="1141"/>
      <c r="W31" s="1143"/>
      <c r="X31" s="1141"/>
      <c r="Y31" s="631"/>
      <c r="Z31" s="629"/>
      <c r="AA31" s="629"/>
      <c r="AB31" s="629"/>
      <c r="AC31" s="632"/>
    </row>
    <row r="32" spans="1:29" x14ac:dyDescent="0.25">
      <c r="A32" s="19">
        <v>12</v>
      </c>
      <c r="B32" s="1">
        <v>48143315</v>
      </c>
      <c r="C32" s="2" t="s">
        <v>16</v>
      </c>
      <c r="D32" s="2" t="s">
        <v>24</v>
      </c>
      <c r="E32" s="1" t="s">
        <v>131</v>
      </c>
      <c r="F32" s="37" t="s">
        <v>132</v>
      </c>
      <c r="G32" s="307">
        <v>512882</v>
      </c>
      <c r="H32" s="51">
        <v>-7.3766670000000006E-2</v>
      </c>
      <c r="I32" s="51">
        <v>9.7991799999999993E-3</v>
      </c>
      <c r="J32" s="13">
        <v>5.1589999999999998E-14</v>
      </c>
      <c r="K32" s="19" t="s">
        <v>1065</v>
      </c>
      <c r="L32" s="307">
        <f t="shared" si="0"/>
        <v>470513</v>
      </c>
      <c r="M32" s="177">
        <v>8.4599999999999995E-2</v>
      </c>
      <c r="N32" s="177">
        <v>1.01E-2</v>
      </c>
      <c r="O32" s="13">
        <v>7.1500000000000003E-17</v>
      </c>
      <c r="P32" s="759">
        <f t="shared" si="1"/>
        <v>4.8454331699999992E-2</v>
      </c>
      <c r="Q32" s="760">
        <f t="shared" si="2"/>
        <v>1.1183261835182222E-2</v>
      </c>
      <c r="R32" s="761">
        <f t="shared" si="3"/>
        <v>3.3454617822314144E-5</v>
      </c>
      <c r="T32" s="1141"/>
      <c r="U32" s="1141"/>
      <c r="V32" s="1141"/>
      <c r="W32" s="1143"/>
      <c r="X32" s="1141"/>
      <c r="Y32" s="631"/>
      <c r="Z32" s="629"/>
      <c r="AA32" s="629"/>
      <c r="AB32" s="629"/>
      <c r="AC32" s="632"/>
    </row>
    <row r="33" spans="1:29" x14ac:dyDescent="0.25">
      <c r="A33" s="19">
        <v>12</v>
      </c>
      <c r="B33" s="1">
        <v>108618630</v>
      </c>
      <c r="C33" s="2" t="s">
        <v>17</v>
      </c>
      <c r="D33" s="2" t="s">
        <v>23</v>
      </c>
      <c r="E33" s="1" t="s">
        <v>135</v>
      </c>
      <c r="F33" s="37" t="s">
        <v>136</v>
      </c>
      <c r="G33" s="307">
        <v>512882</v>
      </c>
      <c r="H33" s="51">
        <v>4.8410700000000003E-3</v>
      </c>
      <c r="I33" s="51">
        <v>2.3328200000000002E-3</v>
      </c>
      <c r="J33" s="13">
        <v>3.7968309999999998E-2</v>
      </c>
      <c r="K33" s="19"/>
      <c r="L33" s="307">
        <f t="shared" si="0"/>
        <v>474637</v>
      </c>
      <c r="M33" s="177">
        <v>1.44E-2</v>
      </c>
      <c r="N33" s="177">
        <v>2.3999999999999998E-3</v>
      </c>
      <c r="O33" s="13">
        <v>9.8399999999999991E-10</v>
      </c>
      <c r="P33" s="759">
        <f t="shared" si="1"/>
        <v>1.67721243E-2</v>
      </c>
      <c r="Q33" s="760">
        <f t="shared" si="2"/>
        <v>2.6583145038710601E-3</v>
      </c>
      <c r="R33" s="761">
        <f t="shared" si="3"/>
        <v>9.0542137538043534E-10</v>
      </c>
      <c r="T33" s="1141"/>
      <c r="U33" s="1141"/>
      <c r="V33" s="1141"/>
      <c r="W33" s="1143"/>
      <c r="X33" s="1141"/>
      <c r="Y33" s="631"/>
      <c r="Z33" s="629"/>
      <c r="AA33" s="629"/>
      <c r="AB33" s="629"/>
      <c r="AC33" s="632"/>
    </row>
    <row r="34" spans="1:29" x14ac:dyDescent="0.25">
      <c r="A34" s="19">
        <v>12</v>
      </c>
      <c r="B34" s="1">
        <v>123444507</v>
      </c>
      <c r="C34" s="2" t="s">
        <v>24</v>
      </c>
      <c r="D34" s="2" t="s">
        <v>23</v>
      </c>
      <c r="E34" s="1" t="s">
        <v>139</v>
      </c>
      <c r="F34" s="37" t="s">
        <v>939</v>
      </c>
      <c r="G34" s="307">
        <v>516412</v>
      </c>
      <c r="H34" s="51">
        <v>-5.4563900000000002E-3</v>
      </c>
      <c r="I34" s="51">
        <v>9.0376799999999993E-3</v>
      </c>
      <c r="J34" s="13">
        <v>0.54601736000000001</v>
      </c>
      <c r="K34" s="19"/>
      <c r="L34" s="307">
        <f t="shared" si="0"/>
        <v>466498</v>
      </c>
      <c r="M34" s="177">
        <v>5.2999999999999999E-2</v>
      </c>
      <c r="N34" s="177">
        <v>9.2999999999999992E-3</v>
      </c>
      <c r="O34" s="13">
        <v>1.3399999999999999E-8</v>
      </c>
      <c r="P34" s="759">
        <f t="shared" si="1"/>
        <v>5.0326368900000001E-2</v>
      </c>
      <c r="Q34" s="760">
        <f t="shared" si="2"/>
        <v>1.0300547864737788E-2</v>
      </c>
      <c r="R34" s="761">
        <f t="shared" si="3"/>
        <v>2.6145026931827927E-6</v>
      </c>
      <c r="T34" s="1141"/>
      <c r="U34" s="1141"/>
      <c r="V34" s="1141"/>
      <c r="W34" s="1143"/>
      <c r="X34" s="1141"/>
      <c r="Y34" s="631"/>
      <c r="Z34" s="629"/>
      <c r="AA34" s="629"/>
      <c r="AB34" s="629"/>
      <c r="AC34" s="632"/>
    </row>
    <row r="35" spans="1:29" x14ac:dyDescent="0.25">
      <c r="A35" s="19">
        <v>12</v>
      </c>
      <c r="B35" s="1">
        <v>124265687</v>
      </c>
      <c r="C35" s="2" t="s">
        <v>23</v>
      </c>
      <c r="D35" s="2" t="s">
        <v>17</v>
      </c>
      <c r="E35" s="1" t="s">
        <v>143</v>
      </c>
      <c r="F35" s="37" t="s">
        <v>940</v>
      </c>
      <c r="G35" s="307">
        <v>526508</v>
      </c>
      <c r="H35" s="51">
        <v>-1.0459E-3</v>
      </c>
      <c r="I35" s="51">
        <v>2.0820299999999999E-3</v>
      </c>
      <c r="J35" s="13">
        <v>0.61542558000000003</v>
      </c>
      <c r="K35" s="19"/>
      <c r="L35" s="307">
        <f t="shared" si="0"/>
        <v>476360</v>
      </c>
      <c r="M35" s="177">
        <v>1.7899999999999999E-2</v>
      </c>
      <c r="N35" s="177">
        <v>2.2000000000000001E-3</v>
      </c>
      <c r="O35" s="13">
        <v>2.14E-16</v>
      </c>
      <c r="P35" s="759">
        <f t="shared" si="1"/>
        <v>1.7387508999999999E-2</v>
      </c>
      <c r="Q35" s="760">
        <f t="shared" si="2"/>
        <v>2.4250355102365183E-3</v>
      </c>
      <c r="R35" s="761">
        <f t="shared" si="3"/>
        <v>2.7390731541091325E-12</v>
      </c>
      <c r="T35" s="1141"/>
      <c r="U35" s="1141"/>
      <c r="V35" s="1141"/>
      <c r="W35" s="1143"/>
      <c r="X35" s="1141"/>
      <c r="Y35" s="631"/>
      <c r="Z35" s="629"/>
      <c r="AA35" s="629"/>
      <c r="AB35" s="629"/>
      <c r="AC35" s="632"/>
    </row>
    <row r="36" spans="1:29" x14ac:dyDescent="0.25">
      <c r="A36" s="19">
        <v>12</v>
      </c>
      <c r="B36" s="1">
        <v>124330311</v>
      </c>
      <c r="C36" s="2" t="s">
        <v>17</v>
      </c>
      <c r="D36" s="2" t="s">
        <v>23</v>
      </c>
      <c r="E36" s="1" t="s">
        <v>146</v>
      </c>
      <c r="F36" s="37" t="s">
        <v>940</v>
      </c>
      <c r="G36" s="307">
        <v>526508</v>
      </c>
      <c r="H36" s="51">
        <v>-4.8037499999999999E-3</v>
      </c>
      <c r="I36" s="51">
        <v>3.2506100000000001E-3</v>
      </c>
      <c r="J36" s="13">
        <v>0.13946132</v>
      </c>
      <c r="K36" s="19"/>
      <c r="L36" s="307">
        <f t="shared" si="0"/>
        <v>476395</v>
      </c>
      <c r="M36" s="177">
        <v>2.52E-2</v>
      </c>
      <c r="N36" s="177">
        <v>3.3E-3</v>
      </c>
      <c r="O36" s="13">
        <v>2.8800000000000001E-14</v>
      </c>
      <c r="P36" s="759">
        <f t="shared" si="1"/>
        <v>2.2846162499999999E-2</v>
      </c>
      <c r="Q36" s="760">
        <f t="shared" si="2"/>
        <v>3.6642882440988738E-3</v>
      </c>
      <c r="R36" s="761">
        <f t="shared" si="3"/>
        <v>1.4446438657363484E-9</v>
      </c>
      <c r="T36" s="1141"/>
      <c r="U36" s="1141"/>
      <c r="V36" s="1141"/>
      <c r="W36" s="1143"/>
      <c r="X36" s="1141"/>
      <c r="Y36" s="631"/>
      <c r="Z36" s="629"/>
      <c r="AA36" s="629"/>
      <c r="AB36" s="629"/>
      <c r="AC36" s="632"/>
    </row>
    <row r="37" spans="1:29" x14ac:dyDescent="0.25">
      <c r="A37" s="19">
        <v>12</v>
      </c>
      <c r="B37" s="1">
        <v>124427306</v>
      </c>
      <c r="C37" s="2" t="s">
        <v>23</v>
      </c>
      <c r="D37" s="2" t="s">
        <v>16</v>
      </c>
      <c r="E37" s="1" t="s">
        <v>149</v>
      </c>
      <c r="F37" s="37" t="s">
        <v>941</v>
      </c>
      <c r="G37" s="307">
        <v>505981</v>
      </c>
      <c r="H37" s="51">
        <v>-7.4345100000000001E-3</v>
      </c>
      <c r="I37" s="51">
        <v>2.2289900000000001E-3</v>
      </c>
      <c r="J37" s="13">
        <v>8.5185000000000002E-4</v>
      </c>
      <c r="K37" s="19" t="s">
        <v>1065</v>
      </c>
      <c r="L37" s="307">
        <f t="shared" si="0"/>
        <v>467649</v>
      </c>
      <c r="M37" s="177">
        <v>2.87E-2</v>
      </c>
      <c r="N37" s="177">
        <v>2.3E-3</v>
      </c>
      <c r="O37" s="13">
        <v>7.2699999999999999E-37</v>
      </c>
      <c r="P37" s="759">
        <f t="shared" si="1"/>
        <v>2.5057090099999998E-2</v>
      </c>
      <c r="Q37" s="760">
        <f t="shared" si="2"/>
        <v>2.546156315010139E-3</v>
      </c>
      <c r="R37" s="761">
        <f t="shared" si="3"/>
        <v>3.720578454562614E-22</v>
      </c>
      <c r="T37" s="1141"/>
      <c r="U37" s="1141"/>
      <c r="V37" s="1141"/>
      <c r="W37" s="1143"/>
      <c r="X37" s="1141"/>
      <c r="Y37" s="631"/>
      <c r="Z37" s="629"/>
      <c r="AA37" s="629"/>
      <c r="AB37" s="629"/>
      <c r="AC37" s="632"/>
    </row>
    <row r="38" spans="1:29" x14ac:dyDescent="0.25">
      <c r="A38" s="19">
        <v>15</v>
      </c>
      <c r="B38" s="1">
        <v>42032383</v>
      </c>
      <c r="C38" s="2" t="s">
        <v>24</v>
      </c>
      <c r="D38" s="2" t="s">
        <v>17</v>
      </c>
      <c r="E38" s="1" t="s">
        <v>152</v>
      </c>
      <c r="F38" s="37" t="s">
        <v>153</v>
      </c>
      <c r="G38" s="307">
        <v>520381</v>
      </c>
      <c r="H38" s="51">
        <v>-4.09422E-3</v>
      </c>
      <c r="I38" s="51">
        <v>2.1692199999999999E-3</v>
      </c>
      <c r="J38" s="13">
        <v>5.910369E-2</v>
      </c>
      <c r="K38" s="19"/>
      <c r="L38" s="307">
        <f t="shared" si="0"/>
        <v>469874</v>
      </c>
      <c r="M38" s="177">
        <v>1.4999999999999999E-2</v>
      </c>
      <c r="N38" s="177">
        <v>2.3E-3</v>
      </c>
      <c r="O38" s="13">
        <v>3.4499999999999997E-11</v>
      </c>
      <c r="P38" s="759">
        <f t="shared" si="1"/>
        <v>1.2993832199999999E-2</v>
      </c>
      <c r="Q38" s="760">
        <f t="shared" si="2"/>
        <v>2.5337312899273356E-3</v>
      </c>
      <c r="R38" s="761">
        <f t="shared" si="3"/>
        <v>7.7619086699598886E-7</v>
      </c>
      <c r="T38" s="1141"/>
      <c r="U38" s="1141"/>
      <c r="V38" s="1141"/>
      <c r="W38" s="1143"/>
      <c r="X38" s="1141"/>
      <c r="Y38" s="631"/>
      <c r="Z38" s="629"/>
      <c r="AA38" s="629"/>
      <c r="AB38" s="629"/>
      <c r="AC38" s="632"/>
    </row>
    <row r="39" spans="1:29" x14ac:dyDescent="0.25">
      <c r="A39" s="19">
        <v>15</v>
      </c>
      <c r="B39" s="1">
        <v>56756285</v>
      </c>
      <c r="C39" s="2" t="s">
        <v>24</v>
      </c>
      <c r="D39" s="2" t="s">
        <v>23</v>
      </c>
      <c r="E39" s="1" t="s">
        <v>156</v>
      </c>
      <c r="F39" s="37" t="s">
        <v>157</v>
      </c>
      <c r="G39" s="307">
        <v>526508</v>
      </c>
      <c r="H39" s="51">
        <v>-7.6351400000000003E-3</v>
      </c>
      <c r="I39" s="51">
        <v>3.4243400000000001E-3</v>
      </c>
      <c r="J39" s="13">
        <v>2.5769500000000001E-2</v>
      </c>
      <c r="K39" s="19" t="s">
        <v>1065</v>
      </c>
      <c r="L39" s="307">
        <f t="shared" si="0"/>
        <v>476274</v>
      </c>
      <c r="M39" s="177">
        <v>2.2800000000000001E-2</v>
      </c>
      <c r="N39" s="177">
        <v>3.5000000000000001E-3</v>
      </c>
      <c r="O39" s="13">
        <v>8.8299999999999995E-11</v>
      </c>
      <c r="P39" s="759">
        <f t="shared" si="1"/>
        <v>1.9058781400000002E-2</v>
      </c>
      <c r="Q39" s="760">
        <f t="shared" si="2"/>
        <v>3.8814221201754857E-3</v>
      </c>
      <c r="R39" s="761">
        <f t="shared" si="3"/>
        <v>2.319284011044291E-6</v>
      </c>
      <c r="T39" s="1141"/>
      <c r="U39" s="1141"/>
      <c r="V39" s="1141"/>
      <c r="W39" s="1143"/>
      <c r="X39" s="1141"/>
      <c r="Y39" s="631"/>
      <c r="Z39" s="629"/>
      <c r="AA39" s="629"/>
      <c r="AB39" s="629"/>
      <c r="AC39" s="632"/>
    </row>
    <row r="40" spans="1:29" x14ac:dyDescent="0.25">
      <c r="A40" s="19">
        <v>16</v>
      </c>
      <c r="B40" s="1">
        <v>4432029</v>
      </c>
      <c r="C40" s="2" t="s">
        <v>16</v>
      </c>
      <c r="D40" s="2" t="s">
        <v>17</v>
      </c>
      <c r="E40" s="1" t="s">
        <v>161</v>
      </c>
      <c r="F40" s="1143" t="s">
        <v>948</v>
      </c>
      <c r="G40" s="307">
        <v>473097</v>
      </c>
      <c r="H40" s="51">
        <v>-2.5713699999999999E-3</v>
      </c>
      <c r="I40" s="51">
        <v>2.5104200000000002E-3</v>
      </c>
      <c r="J40" s="13">
        <v>0.30570257000000001</v>
      </c>
      <c r="K40" s="19"/>
      <c r="L40" s="307">
        <f t="shared" si="0"/>
        <v>424163</v>
      </c>
      <c r="M40" s="177">
        <v>1.5800000000000002E-2</v>
      </c>
      <c r="N40" s="177">
        <v>2.5999999999999999E-3</v>
      </c>
      <c r="O40" s="13">
        <v>1.9800000000000002E-9</v>
      </c>
      <c r="P40" s="759">
        <f t="shared" si="1"/>
        <v>1.4540028700000002E-2</v>
      </c>
      <c r="Q40" s="760">
        <f t="shared" si="2"/>
        <v>2.8763101848016392E-3</v>
      </c>
      <c r="R40" s="761">
        <f t="shared" si="3"/>
        <v>1.1270078192775639E-6</v>
      </c>
      <c r="T40" s="1141"/>
      <c r="U40" s="1141"/>
      <c r="V40" s="1141"/>
      <c r="W40" s="1143"/>
      <c r="X40" s="1141"/>
      <c r="Y40" s="631"/>
      <c r="Z40" s="629"/>
      <c r="AA40" s="629"/>
      <c r="AB40" s="629"/>
      <c r="AC40" s="632"/>
    </row>
    <row r="41" spans="1:29" x14ac:dyDescent="0.25">
      <c r="A41" s="19">
        <v>16</v>
      </c>
      <c r="B41" s="1">
        <v>4445327</v>
      </c>
      <c r="C41" s="2" t="s">
        <v>17</v>
      </c>
      <c r="D41" s="2" t="s">
        <v>23</v>
      </c>
      <c r="E41" s="1" t="s">
        <v>164</v>
      </c>
      <c r="F41" s="37" t="s">
        <v>949</v>
      </c>
      <c r="G41" s="307">
        <v>499898</v>
      </c>
      <c r="H41" s="51">
        <v>2.0999E-3</v>
      </c>
      <c r="I41" s="51">
        <v>2.31642E-3</v>
      </c>
      <c r="J41" s="13">
        <v>0.36465713</v>
      </c>
      <c r="K41" s="19"/>
      <c r="L41" s="307">
        <f t="shared" si="0"/>
        <v>453078</v>
      </c>
      <c r="M41" s="177">
        <v>1.77E-2</v>
      </c>
      <c r="N41" s="177">
        <v>2.3999999999999998E-3</v>
      </c>
      <c r="O41" s="13">
        <v>2.1800000000000001E-13</v>
      </c>
      <c r="P41" s="759">
        <f t="shared" si="1"/>
        <v>1.8728951000000001E-2</v>
      </c>
      <c r="Q41" s="760">
        <f t="shared" si="2"/>
        <v>2.6548689173097866E-3</v>
      </c>
      <c r="R41" s="761">
        <f t="shared" si="3"/>
        <v>6.2253140005405756E-12</v>
      </c>
      <c r="T41" s="1141"/>
      <c r="U41" s="1141"/>
      <c r="V41" s="1141"/>
      <c r="W41" s="1143"/>
      <c r="X41" s="1141"/>
      <c r="Y41" s="631"/>
      <c r="Z41" s="629"/>
      <c r="AA41" s="629"/>
      <c r="AB41" s="629"/>
      <c r="AC41" s="632"/>
    </row>
    <row r="42" spans="1:29" x14ac:dyDescent="0.25">
      <c r="A42" s="19">
        <v>16</v>
      </c>
      <c r="B42" s="1">
        <v>4484396</v>
      </c>
      <c r="C42" s="2" t="s">
        <v>16</v>
      </c>
      <c r="D42" s="2" t="s">
        <v>23</v>
      </c>
      <c r="E42" s="1" t="s">
        <v>167</v>
      </c>
      <c r="F42" s="37" t="s">
        <v>950</v>
      </c>
      <c r="G42" s="307">
        <v>475118</v>
      </c>
      <c r="H42" s="51">
        <v>8.0630000000000006E-5</v>
      </c>
      <c r="I42" s="51">
        <v>2.3530500000000002E-3</v>
      </c>
      <c r="J42" s="13">
        <v>0.97266419999999998</v>
      </c>
      <c r="K42" s="19"/>
      <c r="L42" s="307">
        <f t="shared" si="0"/>
        <v>434331</v>
      </c>
      <c r="M42" s="177">
        <v>1.5100000000000001E-2</v>
      </c>
      <c r="N42" s="177">
        <v>2.3999999999999998E-3</v>
      </c>
      <c r="O42" s="13">
        <v>4.3200000000000001E-10</v>
      </c>
      <c r="P42" s="759">
        <f t="shared" si="1"/>
        <v>1.51395087E-2</v>
      </c>
      <c r="Q42" s="760">
        <f t="shared" si="2"/>
        <v>2.6625920297766704E-3</v>
      </c>
      <c r="R42" s="761">
        <f t="shared" si="3"/>
        <v>3.8054032378938296E-8</v>
      </c>
      <c r="T42" s="1141"/>
      <c r="U42" s="1141"/>
      <c r="V42" s="1141"/>
      <c r="W42" s="1143"/>
      <c r="X42" s="1141"/>
      <c r="Y42" s="631"/>
      <c r="Z42" s="629"/>
      <c r="AA42" s="629"/>
      <c r="AB42" s="629"/>
      <c r="AC42" s="632"/>
    </row>
    <row r="43" spans="1:29" x14ac:dyDescent="0.25">
      <c r="A43" s="19">
        <v>16</v>
      </c>
      <c r="B43" s="177">
        <v>67397580</v>
      </c>
      <c r="C43" s="14" t="s">
        <v>24</v>
      </c>
      <c r="D43" s="14" t="s">
        <v>17</v>
      </c>
      <c r="E43" s="177" t="s">
        <v>170</v>
      </c>
      <c r="F43" s="39" t="s">
        <v>171</v>
      </c>
      <c r="G43" s="307">
        <v>496804</v>
      </c>
      <c r="H43" s="51">
        <v>1.71865E-3</v>
      </c>
      <c r="I43" s="51">
        <v>4.5070600000000002E-3</v>
      </c>
      <c r="J43" s="13">
        <v>0.70296232999999997</v>
      </c>
      <c r="K43" s="19"/>
      <c r="L43" s="307">
        <f t="shared" si="0"/>
        <v>469474</v>
      </c>
      <c r="M43" s="177">
        <v>3.4099999999999998E-2</v>
      </c>
      <c r="N43" s="177">
        <v>4.7000000000000002E-3</v>
      </c>
      <c r="O43" s="13">
        <v>3.8299999999999998E-13</v>
      </c>
      <c r="P43" s="759">
        <f t="shared" si="1"/>
        <v>3.4942138499999997E-2</v>
      </c>
      <c r="Q43" s="760">
        <f t="shared" si="2"/>
        <v>5.1930042289072284E-3</v>
      </c>
      <c r="R43" s="761">
        <f t="shared" si="3"/>
        <v>5.8816262219776548E-11</v>
      </c>
      <c r="T43" s="1141"/>
      <c r="U43" s="1141"/>
      <c r="V43" s="1141"/>
      <c r="W43" s="1143"/>
      <c r="X43" s="1141"/>
      <c r="Y43" s="631"/>
      <c r="Z43" s="629"/>
      <c r="AA43" s="629"/>
      <c r="AB43" s="629"/>
      <c r="AC43" s="632"/>
    </row>
    <row r="44" spans="1:29" x14ac:dyDescent="0.25">
      <c r="A44" s="19">
        <v>16</v>
      </c>
      <c r="B44" s="1">
        <v>67409180</v>
      </c>
      <c r="C44" s="2" t="s">
        <v>24</v>
      </c>
      <c r="D44" s="2" t="s">
        <v>16</v>
      </c>
      <c r="E44" s="1" t="s">
        <v>175</v>
      </c>
      <c r="F44" s="37" t="s">
        <v>171</v>
      </c>
      <c r="G44" s="307">
        <v>501333</v>
      </c>
      <c r="H44" s="51">
        <v>2.2654900000000002E-3</v>
      </c>
      <c r="I44" s="51">
        <v>4.4974300000000002E-3</v>
      </c>
      <c r="J44" s="13">
        <v>0.61445079999999996</v>
      </c>
      <c r="K44" s="19"/>
      <c r="L44" s="307">
        <f t="shared" si="0"/>
        <v>474035</v>
      </c>
      <c r="M44" s="177">
        <v>3.39E-2</v>
      </c>
      <c r="N44" s="177">
        <v>4.7000000000000002E-3</v>
      </c>
      <c r="O44" s="13">
        <v>5.4999999999999998E-13</v>
      </c>
      <c r="P44" s="759">
        <f t="shared" si="1"/>
        <v>3.5010090100000002E-2</v>
      </c>
      <c r="Q44" s="760">
        <f t="shared" si="2"/>
        <v>5.1909992364511564E-3</v>
      </c>
      <c r="R44" s="761">
        <f t="shared" si="3"/>
        <v>5.2917152705570865E-11</v>
      </c>
      <c r="T44" s="1141"/>
      <c r="U44" s="1141"/>
      <c r="V44" s="1141"/>
      <c r="W44" s="1143"/>
      <c r="X44" s="1141"/>
      <c r="Y44" s="631"/>
      <c r="Z44" s="629"/>
      <c r="AA44" s="629"/>
      <c r="AB44" s="629"/>
      <c r="AC44" s="632"/>
    </row>
    <row r="45" spans="1:29" x14ac:dyDescent="0.25">
      <c r="A45" s="19">
        <v>19</v>
      </c>
      <c r="B45" s="1">
        <v>18285944</v>
      </c>
      <c r="C45" s="2" t="s">
        <v>16</v>
      </c>
      <c r="D45" s="2" t="s">
        <v>24</v>
      </c>
      <c r="E45" s="1" t="s">
        <v>178</v>
      </c>
      <c r="F45" s="37" t="s">
        <v>957</v>
      </c>
      <c r="G45" s="307">
        <v>524754</v>
      </c>
      <c r="H45" s="51">
        <v>1.4909560000000001E-2</v>
      </c>
      <c r="I45" s="51">
        <v>2.3605399999999999E-3</v>
      </c>
      <c r="J45" s="13">
        <v>2.6809999999999998E-10</v>
      </c>
      <c r="K45" s="19"/>
      <c r="L45" s="307">
        <f t="shared" si="0"/>
        <v>476389</v>
      </c>
      <c r="M45" s="177">
        <v>1.52E-2</v>
      </c>
      <c r="N45" s="177">
        <v>2.3999999999999998E-3</v>
      </c>
      <c r="O45" s="13">
        <v>3.4599999999999999E-10</v>
      </c>
      <c r="P45" s="759">
        <f t="shared" si="1"/>
        <v>2.25056844E-2</v>
      </c>
      <c r="Q45" s="760">
        <f t="shared" si="2"/>
        <v>2.6641833639772542E-3</v>
      </c>
      <c r="R45" s="761">
        <f t="shared" si="3"/>
        <v>1.2741882525806781E-16</v>
      </c>
      <c r="T45" s="1141"/>
      <c r="U45" s="1141"/>
      <c r="V45" s="1141"/>
      <c r="W45" s="1143"/>
      <c r="X45" s="1141"/>
      <c r="Y45" s="631"/>
      <c r="Z45" s="629"/>
      <c r="AA45" s="629"/>
      <c r="AB45" s="629"/>
      <c r="AC45" s="632"/>
    </row>
    <row r="46" spans="1:29" x14ac:dyDescent="0.25">
      <c r="A46" s="19">
        <v>19</v>
      </c>
      <c r="B46" s="1">
        <v>18304700</v>
      </c>
      <c r="C46" s="2" t="s">
        <v>24</v>
      </c>
      <c r="D46" s="2" t="s">
        <v>16</v>
      </c>
      <c r="E46" s="1" t="s">
        <v>182</v>
      </c>
      <c r="F46" s="37" t="s">
        <v>958</v>
      </c>
      <c r="G46" s="307">
        <v>526508</v>
      </c>
      <c r="H46" s="51">
        <v>1.3082450000000001E-2</v>
      </c>
      <c r="I46" s="51">
        <v>2.3178500000000002E-3</v>
      </c>
      <c r="J46" s="13">
        <v>1.6590000000000002E-8</v>
      </c>
      <c r="K46" s="19"/>
      <c r="L46" s="307">
        <f t="shared" si="0"/>
        <v>476388</v>
      </c>
      <c r="M46" s="177">
        <v>1.52E-2</v>
      </c>
      <c r="N46" s="177">
        <v>2.3999999999999998E-3</v>
      </c>
      <c r="O46" s="13">
        <v>1.16E-10</v>
      </c>
      <c r="P46" s="759">
        <f t="shared" si="1"/>
        <v>2.1610400500000002E-2</v>
      </c>
      <c r="Q46" s="760">
        <f t="shared" si="2"/>
        <v>2.6551685656963945E-3</v>
      </c>
      <c r="R46" s="761">
        <f t="shared" si="3"/>
        <v>1.6458020035802465E-15</v>
      </c>
      <c r="T46" s="1141"/>
      <c r="U46" s="1141"/>
      <c r="V46" s="1141"/>
      <c r="W46" s="1143"/>
      <c r="X46" s="1141"/>
      <c r="Y46" s="631"/>
      <c r="Z46" s="629"/>
      <c r="AA46" s="629"/>
      <c r="AB46" s="629"/>
      <c r="AC46" s="632"/>
    </row>
    <row r="47" spans="1:29" x14ac:dyDescent="0.25">
      <c r="A47" s="19">
        <v>19</v>
      </c>
      <c r="B47" s="1">
        <v>49232226</v>
      </c>
      <c r="C47" s="2" t="s">
        <v>16</v>
      </c>
      <c r="D47" s="2" t="s">
        <v>24</v>
      </c>
      <c r="E47" s="1" t="s">
        <v>185</v>
      </c>
      <c r="F47" s="37" t="s">
        <v>186</v>
      </c>
      <c r="G47" s="307">
        <v>433179</v>
      </c>
      <c r="H47" s="51">
        <v>-3.88953E-3</v>
      </c>
      <c r="I47" s="51">
        <v>2.34089E-3</v>
      </c>
      <c r="J47" s="13">
        <v>9.6601030000000004E-2</v>
      </c>
      <c r="K47" s="19"/>
      <c r="L47" s="307">
        <f t="shared" si="0"/>
        <v>430272</v>
      </c>
      <c r="M47" s="177">
        <v>1.38E-2</v>
      </c>
      <c r="N47" s="177">
        <v>2.3E-3</v>
      </c>
      <c r="O47" s="13">
        <v>1.6399999999999999E-9</v>
      </c>
      <c r="P47" s="759">
        <f t="shared" si="1"/>
        <v>1.18941303E-2</v>
      </c>
      <c r="Q47" s="760">
        <f t="shared" si="2"/>
        <v>2.5701540449364528E-3</v>
      </c>
      <c r="R47" s="761">
        <f t="shared" si="3"/>
        <v>8.9205453455640859E-6</v>
      </c>
      <c r="T47" s="1141"/>
      <c r="U47" s="1141"/>
      <c r="V47" s="1141"/>
      <c r="W47" s="1143"/>
      <c r="X47" s="1141"/>
      <c r="Y47" s="631"/>
      <c r="Z47" s="629"/>
      <c r="AA47" s="629"/>
      <c r="AB47" s="629"/>
      <c r="AC47" s="632"/>
    </row>
    <row r="48" spans="1:29" x14ac:dyDescent="0.25">
      <c r="A48" s="19">
        <v>19</v>
      </c>
      <c r="B48" s="1">
        <v>49244220</v>
      </c>
      <c r="C48" s="2" t="s">
        <v>24</v>
      </c>
      <c r="D48" s="2" t="s">
        <v>16</v>
      </c>
      <c r="E48" s="1" t="s">
        <v>189</v>
      </c>
      <c r="F48" s="37" t="s">
        <v>190</v>
      </c>
      <c r="G48" s="307">
        <v>526508</v>
      </c>
      <c r="H48" s="51">
        <v>-2.0927400000000001E-3</v>
      </c>
      <c r="I48" s="51">
        <v>2.0594799999999998E-3</v>
      </c>
      <c r="J48" s="13">
        <v>0.30955832</v>
      </c>
      <c r="K48" s="19"/>
      <c r="L48" s="307">
        <f t="shared" si="0"/>
        <v>476147</v>
      </c>
      <c r="M48" s="177">
        <v>1.15E-2</v>
      </c>
      <c r="N48" s="177">
        <v>2.0999999999999999E-3</v>
      </c>
      <c r="O48" s="13">
        <v>4.66E-8</v>
      </c>
      <c r="P48" s="759">
        <f t="shared" si="1"/>
        <v>1.0474557399999999E-2</v>
      </c>
      <c r="Q48" s="760">
        <f t="shared" si="2"/>
        <v>2.3298871291723639E-3</v>
      </c>
      <c r="R48" s="761">
        <f t="shared" si="3"/>
        <v>1.6293251701229972E-5</v>
      </c>
      <c r="T48" s="1141"/>
      <c r="U48" s="1141"/>
      <c r="V48" s="1141"/>
      <c r="W48" s="1143"/>
      <c r="X48" s="1141"/>
      <c r="Y48" s="631"/>
      <c r="Z48" s="629"/>
      <c r="AA48" s="629"/>
      <c r="AB48" s="629"/>
      <c r="AC48" s="632"/>
    </row>
    <row r="49" spans="1:29" x14ac:dyDescent="0.25">
      <c r="A49" s="19">
        <v>20</v>
      </c>
      <c r="B49" s="1">
        <v>33971914</v>
      </c>
      <c r="C49" s="2" t="s">
        <v>23</v>
      </c>
      <c r="D49" s="2" t="s">
        <v>17</v>
      </c>
      <c r="E49" s="1" t="s">
        <v>193</v>
      </c>
      <c r="F49" s="37" t="s">
        <v>265</v>
      </c>
      <c r="G49" s="307">
        <v>499487</v>
      </c>
      <c r="H49" s="51">
        <v>-2.93034E-3</v>
      </c>
      <c r="I49" s="51">
        <v>2.2234199999999998E-3</v>
      </c>
      <c r="J49" s="13">
        <v>0.18752269999999999</v>
      </c>
      <c r="K49" s="19"/>
      <c r="L49" s="307">
        <f t="shared" si="0"/>
        <v>451064</v>
      </c>
      <c r="M49" s="177">
        <v>1.84E-2</v>
      </c>
      <c r="N49" s="177">
        <v>2.2000000000000001E-3</v>
      </c>
      <c r="O49" s="13">
        <v>2.46E-16</v>
      </c>
      <c r="P49" s="759">
        <f t="shared" si="1"/>
        <v>1.6964133400000001E-2</v>
      </c>
      <c r="Q49" s="760">
        <f t="shared" si="2"/>
        <v>2.4549862563333505E-3</v>
      </c>
      <c r="R49" s="761">
        <f t="shared" si="3"/>
        <v>1.7073550799776409E-11</v>
      </c>
      <c r="T49" s="1141"/>
      <c r="U49" s="1141"/>
      <c r="V49" s="1141"/>
      <c r="W49" s="1143"/>
      <c r="X49" s="1141"/>
      <c r="Y49" s="631"/>
      <c r="Z49" s="629"/>
      <c r="AA49" s="629"/>
      <c r="AB49" s="629"/>
      <c r="AC49" s="632"/>
    </row>
    <row r="50" spans="1:29" x14ac:dyDescent="0.25">
      <c r="A50" s="19">
        <v>20</v>
      </c>
      <c r="B50" s="1">
        <v>34022387</v>
      </c>
      <c r="C50" s="2" t="s">
        <v>16</v>
      </c>
      <c r="D50" s="2" t="s">
        <v>17</v>
      </c>
      <c r="E50" s="1" t="s">
        <v>197</v>
      </c>
      <c r="F50" s="39" t="s">
        <v>959</v>
      </c>
      <c r="G50" s="307">
        <v>379061</v>
      </c>
      <c r="H50" s="51">
        <v>-5.7535900000000003E-3</v>
      </c>
      <c r="I50" s="51">
        <v>2.57004E-3</v>
      </c>
      <c r="J50" s="13">
        <v>2.517455E-2</v>
      </c>
      <c r="K50" s="19" t="s">
        <v>1065</v>
      </c>
      <c r="L50" s="307">
        <f t="shared" si="0"/>
        <v>345805</v>
      </c>
      <c r="M50" s="177">
        <v>1.7299999999999999E-2</v>
      </c>
      <c r="N50" s="177">
        <v>2.5999999999999999E-3</v>
      </c>
      <c r="O50" s="13">
        <v>1.8199999999999999E-11</v>
      </c>
      <c r="P50" s="759">
        <f t="shared" si="1"/>
        <v>1.4480740899999999E-2</v>
      </c>
      <c r="Q50" s="760">
        <f t="shared" si="2"/>
        <v>2.8889246883475796E-3</v>
      </c>
      <c r="R50" s="761">
        <f t="shared" si="3"/>
        <v>1.3965203290093443E-6</v>
      </c>
      <c r="T50" s="1141"/>
      <c r="U50" s="1141"/>
      <c r="V50" s="1141"/>
      <c r="W50" s="1143"/>
      <c r="X50" s="1141"/>
      <c r="Y50" s="631"/>
      <c r="Z50" s="629"/>
      <c r="AA50" s="629"/>
      <c r="AB50" s="629"/>
      <c r="AC50" s="632"/>
    </row>
    <row r="51" spans="1:29" x14ac:dyDescent="0.25">
      <c r="A51" s="25">
        <v>20</v>
      </c>
      <c r="B51" s="318">
        <v>42965811</v>
      </c>
      <c r="C51" s="21" t="s">
        <v>23</v>
      </c>
      <c r="D51" s="21" t="s">
        <v>17</v>
      </c>
      <c r="E51" s="318" t="s">
        <v>200</v>
      </c>
      <c r="F51" s="40" t="s">
        <v>201</v>
      </c>
      <c r="G51" s="307">
        <v>475422</v>
      </c>
      <c r="H51" s="53">
        <v>6.0063180000000001E-2</v>
      </c>
      <c r="I51" s="53">
        <v>2.9284359999999999E-2</v>
      </c>
      <c r="J51" s="26">
        <v>4.0263790000000001E-2</v>
      </c>
      <c r="K51" s="25"/>
      <c r="L51" s="196">
        <f t="shared" si="0"/>
        <v>428768</v>
      </c>
      <c r="M51" s="318">
        <v>0.17180000000000001</v>
      </c>
      <c r="N51" s="318">
        <v>3.2199999999999999E-2</v>
      </c>
      <c r="O51" s="26">
        <v>9.6999999999999995E-8</v>
      </c>
      <c r="P51" s="762">
        <f t="shared" si="1"/>
        <v>0.2012309582</v>
      </c>
      <c r="Q51" s="763">
        <f t="shared" si="2"/>
        <v>3.5252566645853814E-2</v>
      </c>
      <c r="R51" s="764">
        <f t="shared" si="3"/>
        <v>3.3521538666597306E-8</v>
      </c>
      <c r="T51" s="1141"/>
      <c r="U51" s="1141"/>
      <c r="V51" s="1141"/>
      <c r="W51" s="1143"/>
      <c r="X51" s="1141"/>
      <c r="Y51" s="631"/>
      <c r="Z51" s="629"/>
      <c r="AA51" s="629"/>
      <c r="AB51" s="629"/>
      <c r="AC51" s="632"/>
    </row>
    <row r="52" spans="1:29" s="1141" customFormat="1" x14ac:dyDescent="0.25">
      <c r="A52" s="1069" t="s">
        <v>1066</v>
      </c>
      <c r="B52" s="1139"/>
      <c r="C52" s="1139"/>
      <c r="D52" s="1139"/>
      <c r="E52" s="1139"/>
      <c r="F52" s="1139"/>
      <c r="G52" s="1164"/>
      <c r="H52" s="1139"/>
      <c r="I52" s="1139"/>
      <c r="J52" s="1139"/>
      <c r="K52" s="1139"/>
      <c r="L52" s="1164"/>
      <c r="M52" s="1139"/>
      <c r="N52" s="1139"/>
      <c r="O52" s="742"/>
      <c r="P52" s="742"/>
      <c r="Q52" s="157"/>
      <c r="R52" s="742"/>
      <c r="S52" s="2"/>
    </row>
    <row r="53" spans="1:29" s="1141" customFormat="1" x14ac:dyDescent="0.25">
      <c r="A53" s="1070">
        <v>1</v>
      </c>
      <c r="B53" s="1206">
        <v>173802608</v>
      </c>
      <c r="C53" s="1206" t="s">
        <v>24</v>
      </c>
      <c r="D53" s="1206" t="s">
        <v>16</v>
      </c>
      <c r="E53" s="1206" t="s">
        <v>211</v>
      </c>
      <c r="F53" s="1150" t="s">
        <v>212</v>
      </c>
      <c r="G53" s="307">
        <v>363043</v>
      </c>
      <c r="H53" s="1155">
        <v>8.1355379999999995E-3</v>
      </c>
      <c r="I53" s="1155">
        <v>3.6741630999999997E-2</v>
      </c>
      <c r="J53" s="1207">
        <v>0.82476106199999999</v>
      </c>
      <c r="K53" s="1151"/>
      <c r="L53" s="1162">
        <f>VLOOKUP(E53,alla,15, FALSE)</f>
        <v>352646</v>
      </c>
      <c r="M53" s="1160">
        <v>0.2011</v>
      </c>
      <c r="N53" s="1160">
        <v>3.8199999999999998E-2</v>
      </c>
      <c r="O53" s="1208">
        <v>1.4100000000000001E-7</v>
      </c>
      <c r="P53" s="1093">
        <f t="shared" si="1"/>
        <v>0.20508641361999999</v>
      </c>
      <c r="Q53" s="1094">
        <f t="shared" si="2"/>
        <v>4.2229875472164162E-2</v>
      </c>
      <c r="R53" s="1095">
        <f t="shared" si="3"/>
        <v>3.0165633264277726E-6</v>
      </c>
      <c r="S53" s="2"/>
      <c r="Y53" s="1142"/>
    </row>
    <row r="54" spans="1:29" s="1141" customFormat="1" x14ac:dyDescent="0.25">
      <c r="A54" s="765">
        <v>3</v>
      </c>
      <c r="B54" s="1142">
        <v>129293256</v>
      </c>
      <c r="C54" s="1142" t="s">
        <v>23</v>
      </c>
      <c r="D54" s="1142" t="s">
        <v>17</v>
      </c>
      <c r="E54" s="1142" t="s">
        <v>215</v>
      </c>
      <c r="F54" s="199" t="s">
        <v>216</v>
      </c>
      <c r="G54" s="307">
        <v>439508</v>
      </c>
      <c r="H54" s="51">
        <v>1.33325E-4</v>
      </c>
      <c r="I54" s="51">
        <v>2.297936E-3</v>
      </c>
      <c r="J54" s="13">
        <v>0.95373320800000005</v>
      </c>
      <c r="K54" s="1152"/>
      <c r="L54" s="307">
        <f>VLOOKUP(E54,alla,15, FALSE)</f>
        <v>420520</v>
      </c>
      <c r="M54" s="735">
        <v>1.3599999999999999E-2</v>
      </c>
      <c r="N54" s="735">
        <v>2.3E-3</v>
      </c>
      <c r="O54" s="766">
        <v>3.1399999999999999E-9</v>
      </c>
      <c r="P54" s="759">
        <f t="shared" si="1"/>
        <v>1.3665329249999998E-2</v>
      </c>
      <c r="Q54" s="760">
        <f t="shared" si="2"/>
        <v>2.5608300250912885E-3</v>
      </c>
      <c r="R54" s="761">
        <f t="shared" si="3"/>
        <v>2.6147451778176E-7</v>
      </c>
      <c r="S54" s="2"/>
      <c r="Y54" s="1142"/>
    </row>
    <row r="55" spans="1:29" s="1141" customFormat="1" x14ac:dyDescent="0.25">
      <c r="A55" s="765">
        <v>14</v>
      </c>
      <c r="B55" s="1142">
        <v>58838668</v>
      </c>
      <c r="C55" s="1142" t="s">
        <v>16</v>
      </c>
      <c r="D55" s="1142" t="s">
        <v>24</v>
      </c>
      <c r="E55" s="1142" t="s">
        <v>219</v>
      </c>
      <c r="F55" s="199" t="s">
        <v>220</v>
      </c>
      <c r="G55" s="307">
        <v>393707</v>
      </c>
      <c r="H55" s="51">
        <v>1.1747929999999999E-3</v>
      </c>
      <c r="I55" s="51">
        <v>2.3674740000000001E-3</v>
      </c>
      <c r="J55" s="13">
        <v>0.61973757799999996</v>
      </c>
      <c r="K55" s="1152"/>
      <c r="L55" s="307">
        <f>VLOOKUP(E55,alla,15, FALSE)</f>
        <v>367079</v>
      </c>
      <c r="M55" s="735">
        <v>1.34E-2</v>
      </c>
      <c r="N55" s="735">
        <v>2.3999999999999998E-3</v>
      </c>
      <c r="O55" s="766">
        <v>2.1900000000000001E-8</v>
      </c>
      <c r="P55" s="759">
        <f t="shared" si="1"/>
        <v>1.3975648570000001E-2</v>
      </c>
      <c r="Q55" s="760">
        <f t="shared" si="2"/>
        <v>2.6656602272375801E-3</v>
      </c>
      <c r="R55" s="761">
        <f t="shared" si="3"/>
        <v>4.2863480100004547E-7</v>
      </c>
      <c r="S55" s="2"/>
      <c r="Y55" s="1142"/>
    </row>
    <row r="56" spans="1:29" s="1141" customFormat="1" x14ac:dyDescent="0.25">
      <c r="A56" s="767">
        <v>15</v>
      </c>
      <c r="B56" s="635">
        <v>42115747</v>
      </c>
      <c r="C56" s="635" t="s">
        <v>17</v>
      </c>
      <c r="D56" s="635" t="s">
        <v>24</v>
      </c>
      <c r="E56" s="635" t="s">
        <v>222</v>
      </c>
      <c r="F56" s="200" t="s">
        <v>223</v>
      </c>
      <c r="G56" s="307">
        <v>228459</v>
      </c>
      <c r="H56" s="53">
        <v>-5.0417559999999997E-3</v>
      </c>
      <c r="I56" s="53">
        <v>3.4572829999999998E-3</v>
      </c>
      <c r="J56" s="26">
        <v>0.144757841</v>
      </c>
      <c r="K56" s="1153"/>
      <c r="L56" s="196">
        <f>VLOOKUP(E56,alla,15, FALSE)</f>
        <v>253703</v>
      </c>
      <c r="M56" s="736">
        <v>1.7299999999999999E-2</v>
      </c>
      <c r="N56" s="736">
        <v>3.0999999999999999E-3</v>
      </c>
      <c r="O56" s="768">
        <v>2.0199999999999999E-8</v>
      </c>
      <c r="P56" s="762">
        <f t="shared" si="1"/>
        <v>1.482953956E-2</v>
      </c>
      <c r="Q56" s="763">
        <f t="shared" si="2"/>
        <v>3.5326857571365681E-3</v>
      </c>
      <c r="R56" s="764">
        <f t="shared" si="3"/>
        <v>5.948786993735915E-5</v>
      </c>
      <c r="S56" s="2"/>
      <c r="Y56" s="1142"/>
    </row>
    <row r="57" spans="1:29" x14ac:dyDescent="0.25">
      <c r="A57" s="1071" t="s">
        <v>5574</v>
      </c>
      <c r="B57" s="769"/>
      <c r="C57" s="769"/>
      <c r="D57" s="769"/>
      <c r="E57" s="769"/>
      <c r="F57" s="770"/>
      <c r="G57" s="1157"/>
      <c r="H57" s="771"/>
      <c r="I57" s="771"/>
      <c r="J57" s="772"/>
      <c r="K57" s="769"/>
      <c r="L57" s="1072"/>
      <c r="M57" s="769"/>
      <c r="N57" s="769"/>
      <c r="O57" s="772"/>
      <c r="P57" s="771"/>
      <c r="Q57" s="771"/>
      <c r="R57" s="772"/>
      <c r="T57" s="35"/>
      <c r="Y57" s="14"/>
    </row>
    <row r="58" spans="1:29" x14ac:dyDescent="0.25">
      <c r="A58" s="19">
        <v>1</v>
      </c>
      <c r="B58" s="1">
        <v>154987704</v>
      </c>
      <c r="C58" s="2" t="s">
        <v>17</v>
      </c>
      <c r="D58" s="2" t="s">
        <v>23</v>
      </c>
      <c r="E58" s="1" t="s">
        <v>27</v>
      </c>
      <c r="F58" s="37" t="s">
        <v>28</v>
      </c>
      <c r="G58" s="307">
        <v>274807</v>
      </c>
      <c r="H58" s="1155">
        <v>-3.5739519999999997E-2</v>
      </c>
      <c r="I58" s="1155">
        <v>9.1705299999999997E-3</v>
      </c>
      <c r="J58" s="1207">
        <v>9.7310000000000002E-5</v>
      </c>
      <c r="K58" s="1" t="s">
        <v>1065</v>
      </c>
      <c r="L58" s="307">
        <f t="shared" ref="L58:L73" si="4">VLOOKUP(E58,allw,10, FALSE)</f>
        <v>250084</v>
      </c>
      <c r="M58" s="29">
        <v>7.0300000000000001E-2</v>
      </c>
      <c r="N58" s="29">
        <v>9.5999999999999992E-3</v>
      </c>
      <c r="O58" s="16">
        <v>2.3400000000000001E-13</v>
      </c>
      <c r="P58" s="1093">
        <f>M58+H58*0.49</f>
        <v>5.2787635200000002E-2</v>
      </c>
      <c r="Q58" s="1094">
        <f xml:space="preserve"> SQRT(N58^2 + ((I58^2)*(0.49^2)))</f>
        <v>1.0599626350841999E-2</v>
      </c>
      <c r="R58" s="1095">
        <f>_xlfn.NORM.S.DIST((P58/Q58),FALSE)</f>
        <v>1.6415963705416893E-6</v>
      </c>
    </row>
    <row r="59" spans="1:29" x14ac:dyDescent="0.25">
      <c r="A59" s="19">
        <v>1</v>
      </c>
      <c r="B59" s="1">
        <v>205130413</v>
      </c>
      <c r="C59" s="2" t="s">
        <v>24</v>
      </c>
      <c r="D59" s="2" t="s">
        <v>16</v>
      </c>
      <c r="E59" s="1" t="s">
        <v>257</v>
      </c>
      <c r="F59" s="37" t="s">
        <v>258</v>
      </c>
      <c r="G59" s="307">
        <v>274206</v>
      </c>
      <c r="H59" s="51">
        <v>-1.181954E-2</v>
      </c>
      <c r="I59" s="51">
        <v>4.9760100000000003E-3</v>
      </c>
      <c r="J59" s="13">
        <v>1.7534439999999998E-2</v>
      </c>
      <c r="K59" s="1" t="s">
        <v>1065</v>
      </c>
      <c r="L59" s="307">
        <f t="shared" si="4"/>
        <v>249471</v>
      </c>
      <c r="M59" s="29">
        <v>3.3799999999999997E-2</v>
      </c>
      <c r="N59" s="29">
        <v>5.1000000000000004E-3</v>
      </c>
      <c r="O59" s="16">
        <v>4.46E-11</v>
      </c>
      <c r="P59" s="759">
        <f t="shared" ref="P59:P73" si="5">M59+H59*0.49</f>
        <v>2.8008425399999995E-2</v>
      </c>
      <c r="Q59" s="760">
        <f t="shared" ref="Q59:Q73" si="6" xml:space="preserve"> SQRT(N59^2 + ((I59^2)*(0.49^2)))</f>
        <v>5.6528787526689455E-3</v>
      </c>
      <c r="R59" s="761">
        <f t="shared" ref="R59:R73" si="7">_xlfn.NORM.S.DIST((P59/Q59),FALSE)</f>
        <v>1.8625605043389416E-6</v>
      </c>
    </row>
    <row r="60" spans="1:29" x14ac:dyDescent="0.25">
      <c r="A60" s="19">
        <v>2</v>
      </c>
      <c r="B60" s="1">
        <v>158412701</v>
      </c>
      <c r="C60" s="2" t="s">
        <v>23</v>
      </c>
      <c r="D60" s="2" t="s">
        <v>24</v>
      </c>
      <c r="E60" s="1" t="s">
        <v>32</v>
      </c>
      <c r="F60" s="37" t="s">
        <v>33</v>
      </c>
      <c r="G60" s="307">
        <v>270496</v>
      </c>
      <c r="H60" s="51">
        <v>-1.4584659999999999E-2</v>
      </c>
      <c r="I60" s="51">
        <v>1.412306E-2</v>
      </c>
      <c r="J60" s="13">
        <v>0.30175167000000003</v>
      </c>
      <c r="L60" s="307">
        <f t="shared" si="4"/>
        <v>245808</v>
      </c>
      <c r="M60" s="29">
        <v>0.1134</v>
      </c>
      <c r="N60" s="29">
        <v>1.4200000000000001E-2</v>
      </c>
      <c r="O60" s="16">
        <v>1.6800000000000001E-15</v>
      </c>
      <c r="P60" s="759">
        <f t="shared" si="5"/>
        <v>0.1062535166</v>
      </c>
      <c r="Q60" s="760">
        <f t="shared" si="6"/>
        <v>1.5796535815983212E-2</v>
      </c>
      <c r="R60" s="761">
        <f t="shared" si="7"/>
        <v>5.9738855908906403E-11</v>
      </c>
    </row>
    <row r="61" spans="1:29" x14ac:dyDescent="0.25">
      <c r="A61" s="19">
        <v>2</v>
      </c>
      <c r="B61" s="1">
        <v>165551201</v>
      </c>
      <c r="C61" s="2" t="s">
        <v>23</v>
      </c>
      <c r="D61" s="2" t="s">
        <v>17</v>
      </c>
      <c r="E61" s="1" t="s">
        <v>37</v>
      </c>
      <c r="F61" s="37" t="s">
        <v>38</v>
      </c>
      <c r="G61" s="307">
        <v>229048</v>
      </c>
      <c r="H61" s="51">
        <v>-1.654804E-2</v>
      </c>
      <c r="I61" s="51">
        <v>4.6657299999999999E-3</v>
      </c>
      <c r="J61" s="13">
        <v>3.9006000000000002E-4</v>
      </c>
      <c r="K61" s="1" t="s">
        <v>1065</v>
      </c>
      <c r="L61" s="307">
        <f t="shared" si="4"/>
        <v>216636</v>
      </c>
      <c r="M61" s="29">
        <v>6.2300000000000001E-2</v>
      </c>
      <c r="N61" s="29">
        <v>4.7999999999999996E-3</v>
      </c>
      <c r="O61" s="16">
        <v>6.6899999999999997E-39</v>
      </c>
      <c r="P61" s="759">
        <f t="shared" si="5"/>
        <v>5.4191460400000002E-2</v>
      </c>
      <c r="Q61" s="760">
        <f t="shared" si="6"/>
        <v>5.3166479710000814E-3</v>
      </c>
      <c r="R61" s="761">
        <f t="shared" si="7"/>
        <v>1.0986312020565355E-23</v>
      </c>
    </row>
    <row r="62" spans="1:29" x14ac:dyDescent="0.25">
      <c r="A62" s="19">
        <v>3</v>
      </c>
      <c r="B62" s="1">
        <v>129137188</v>
      </c>
      <c r="C62" s="2" t="s">
        <v>17</v>
      </c>
      <c r="D62" s="2" t="s">
        <v>23</v>
      </c>
      <c r="E62" s="1" t="s">
        <v>58</v>
      </c>
      <c r="F62" s="37" t="s">
        <v>917</v>
      </c>
      <c r="G62" s="307">
        <v>274807</v>
      </c>
      <c r="H62" s="51">
        <v>-5.8339100000000003E-3</v>
      </c>
      <c r="I62" s="51">
        <v>5.7802799999999996E-3</v>
      </c>
      <c r="J62" s="13">
        <v>0.31284054</v>
      </c>
      <c r="L62" s="307">
        <f t="shared" si="4"/>
        <v>250045</v>
      </c>
      <c r="M62" s="29">
        <v>5.0900000000000001E-2</v>
      </c>
      <c r="N62" s="29">
        <v>5.8999999999999999E-3</v>
      </c>
      <c r="O62" s="16">
        <v>8.0800000000000001E-18</v>
      </c>
      <c r="P62" s="759">
        <f t="shared" si="5"/>
        <v>4.8041384100000001E-2</v>
      </c>
      <c r="Q62" s="760">
        <f t="shared" si="6"/>
        <v>6.5446263464390263E-3</v>
      </c>
      <c r="R62" s="761">
        <f t="shared" si="7"/>
        <v>7.9452615828309125E-13</v>
      </c>
    </row>
    <row r="63" spans="1:29" x14ac:dyDescent="0.25">
      <c r="A63" s="19">
        <v>3</v>
      </c>
      <c r="B63" s="1">
        <v>129284818</v>
      </c>
      <c r="C63" s="2" t="s">
        <v>16</v>
      </c>
      <c r="D63" s="2" t="s">
        <v>17</v>
      </c>
      <c r="E63" s="1" t="s">
        <v>62</v>
      </c>
      <c r="F63" s="37" t="s">
        <v>216</v>
      </c>
      <c r="G63" s="307">
        <v>274789</v>
      </c>
      <c r="H63" s="51">
        <v>1.4103200000000001E-3</v>
      </c>
      <c r="I63" s="51">
        <v>3.2122499999999998E-3</v>
      </c>
      <c r="J63" s="13">
        <v>0.66062900999999996</v>
      </c>
      <c r="L63" s="307">
        <f t="shared" si="4"/>
        <v>250023</v>
      </c>
      <c r="M63" s="29">
        <v>2.4799999999999999E-2</v>
      </c>
      <c r="N63" s="29">
        <v>3.3E-3</v>
      </c>
      <c r="O63" s="16">
        <v>8.23E-14</v>
      </c>
      <c r="P63" s="759">
        <f t="shared" si="5"/>
        <v>2.5491056799999998E-2</v>
      </c>
      <c r="Q63" s="760">
        <f t="shared" si="6"/>
        <v>3.6561569810398251E-3</v>
      </c>
      <c r="R63" s="761">
        <f t="shared" si="7"/>
        <v>1.1101282798881301E-11</v>
      </c>
    </row>
    <row r="64" spans="1:29" x14ac:dyDescent="0.25">
      <c r="A64" s="19">
        <v>3</v>
      </c>
      <c r="B64" s="1">
        <v>129293256</v>
      </c>
      <c r="C64" s="2" t="s">
        <v>23</v>
      </c>
      <c r="D64" s="2" t="s">
        <v>17</v>
      </c>
      <c r="E64" s="1" t="s">
        <v>215</v>
      </c>
      <c r="F64" s="37" t="s">
        <v>216</v>
      </c>
      <c r="G64" s="307">
        <v>268475</v>
      </c>
      <c r="H64" s="51">
        <v>5.7187200000000001E-3</v>
      </c>
      <c r="I64" s="51">
        <v>2.9248799999999999E-3</v>
      </c>
      <c r="J64" s="13">
        <v>5.0559350000000003E-2</v>
      </c>
      <c r="L64" s="307">
        <f t="shared" si="4"/>
        <v>250069</v>
      </c>
      <c r="M64" s="29">
        <v>1.7999999999999999E-2</v>
      </c>
      <c r="N64" s="29">
        <v>3.0000000000000001E-3</v>
      </c>
      <c r="O64" s="16">
        <v>1.9000000000000001E-9</v>
      </c>
      <c r="P64" s="759">
        <f t="shared" si="5"/>
        <v>2.0802172799999998E-2</v>
      </c>
      <c r="Q64" s="760">
        <f t="shared" si="6"/>
        <v>3.3247611968015749E-3</v>
      </c>
      <c r="R64" s="761">
        <f t="shared" si="7"/>
        <v>1.2597552933399565E-9</v>
      </c>
    </row>
    <row r="65" spans="1:21" x14ac:dyDescent="0.25">
      <c r="A65" s="19">
        <v>4</v>
      </c>
      <c r="B65" s="1">
        <v>89625427</v>
      </c>
      <c r="C65" s="2" t="s">
        <v>24</v>
      </c>
      <c r="D65" s="2" t="s">
        <v>17</v>
      </c>
      <c r="E65" s="1" t="s">
        <v>65</v>
      </c>
      <c r="F65" s="37" t="s">
        <v>918</v>
      </c>
      <c r="G65" s="307">
        <v>248533</v>
      </c>
      <c r="H65" s="51">
        <v>-8.9003699999999995E-3</v>
      </c>
      <c r="I65" s="51">
        <v>3.9677999999999996E-3</v>
      </c>
      <c r="J65" s="13">
        <v>2.488711E-2</v>
      </c>
      <c r="K65" s="1" t="s">
        <v>1065</v>
      </c>
      <c r="L65" s="307">
        <f t="shared" si="4"/>
        <v>223877</v>
      </c>
      <c r="M65" s="29">
        <v>3.4000000000000002E-2</v>
      </c>
      <c r="N65" s="29">
        <v>4.1000000000000003E-3</v>
      </c>
      <c r="O65" s="16">
        <v>2.11E-16</v>
      </c>
      <c r="P65" s="759">
        <f t="shared" si="5"/>
        <v>2.9638818700000003E-2</v>
      </c>
      <c r="Q65" s="760">
        <f t="shared" si="6"/>
        <v>4.5376204320418875E-3</v>
      </c>
      <c r="R65" s="761">
        <f t="shared" si="7"/>
        <v>2.1699883568034575E-10</v>
      </c>
    </row>
    <row r="66" spans="1:21" x14ac:dyDescent="0.25">
      <c r="A66" s="19">
        <v>4</v>
      </c>
      <c r="B66" s="1">
        <v>89668859</v>
      </c>
      <c r="C66" s="2" t="s">
        <v>17</v>
      </c>
      <c r="D66" s="2" t="s">
        <v>23</v>
      </c>
      <c r="E66" s="1" t="s">
        <v>69</v>
      </c>
      <c r="F66" s="37" t="s">
        <v>919</v>
      </c>
      <c r="G66" s="307">
        <v>274807</v>
      </c>
      <c r="H66" s="51">
        <v>-8.9058499999999999E-3</v>
      </c>
      <c r="I66" s="51">
        <v>3.5884599999999999E-3</v>
      </c>
      <c r="J66" s="13">
        <v>1.3071930000000001E-2</v>
      </c>
      <c r="K66" s="1" t="s">
        <v>1065</v>
      </c>
      <c r="L66" s="307">
        <f t="shared" si="4"/>
        <v>242970</v>
      </c>
      <c r="M66" s="29">
        <v>2.63E-2</v>
      </c>
      <c r="N66" s="29">
        <v>3.8E-3</v>
      </c>
      <c r="O66" s="16">
        <v>5.8699999999999998E-12</v>
      </c>
      <c r="P66" s="759">
        <f t="shared" si="5"/>
        <v>2.19361335E-2</v>
      </c>
      <c r="Q66" s="760">
        <f t="shared" si="6"/>
        <v>4.1870966726003786E-3</v>
      </c>
      <c r="R66" s="761">
        <f t="shared" si="7"/>
        <v>4.3740054057278055E-7</v>
      </c>
    </row>
    <row r="67" spans="1:21" x14ac:dyDescent="0.25">
      <c r="A67" s="19">
        <v>6</v>
      </c>
      <c r="B67" s="1">
        <v>127476516</v>
      </c>
      <c r="C67" s="2" t="s">
        <v>16</v>
      </c>
      <c r="D67" s="2" t="s">
        <v>24</v>
      </c>
      <c r="E67" s="1" t="s">
        <v>95</v>
      </c>
      <c r="F67" s="37" t="s">
        <v>923</v>
      </c>
      <c r="G67" s="307">
        <v>274807</v>
      </c>
      <c r="H67" s="51">
        <v>-1.00705E-3</v>
      </c>
      <c r="I67" s="51">
        <v>2.8214400000000001E-3</v>
      </c>
      <c r="J67" s="13">
        <v>0.72114540999999999</v>
      </c>
      <c r="L67" s="307">
        <f t="shared" si="4"/>
        <v>250034</v>
      </c>
      <c r="M67" s="29">
        <v>4.2299999999999997E-2</v>
      </c>
      <c r="N67" s="29">
        <v>2.8999999999999998E-3</v>
      </c>
      <c r="O67" s="16">
        <v>3.4378790000000003E-48</v>
      </c>
      <c r="P67" s="759">
        <f t="shared" si="5"/>
        <v>4.18065455E-2</v>
      </c>
      <c r="Q67" s="760">
        <f t="shared" si="6"/>
        <v>3.2126813931716539E-3</v>
      </c>
      <c r="R67" s="761">
        <f t="shared" si="7"/>
        <v>6.7566303083001951E-38</v>
      </c>
    </row>
    <row r="68" spans="1:21" x14ac:dyDescent="0.25">
      <c r="A68" s="19">
        <v>6</v>
      </c>
      <c r="B68" s="177">
        <v>127767954</v>
      </c>
      <c r="C68" s="14" t="s">
        <v>16</v>
      </c>
      <c r="D68" s="14" t="s">
        <v>24</v>
      </c>
      <c r="E68" s="177" t="s">
        <v>99</v>
      </c>
      <c r="F68" s="39" t="s">
        <v>924</v>
      </c>
      <c r="G68" s="307">
        <v>216775</v>
      </c>
      <c r="H68" s="51">
        <v>-1.493386E-2</v>
      </c>
      <c r="I68" s="51">
        <v>1.5615E-2</v>
      </c>
      <c r="J68" s="13">
        <v>0.33888064000000001</v>
      </c>
      <c r="K68" s="177"/>
      <c r="L68" s="307">
        <f t="shared" si="4"/>
        <v>205203</v>
      </c>
      <c r="M68" s="29">
        <v>0.1429</v>
      </c>
      <c r="N68" s="29">
        <v>1.61E-2</v>
      </c>
      <c r="O68" s="16">
        <v>5.8799999999999997E-19</v>
      </c>
      <c r="P68" s="759">
        <f t="shared" si="5"/>
        <v>0.13558240860000001</v>
      </c>
      <c r="Q68" s="760">
        <f t="shared" si="6"/>
        <v>1.7825632017476969E-2</v>
      </c>
      <c r="R68" s="761">
        <f t="shared" si="7"/>
        <v>1.092831132140406E-13</v>
      </c>
    </row>
    <row r="69" spans="1:21" x14ac:dyDescent="0.25">
      <c r="A69" s="19">
        <v>11</v>
      </c>
      <c r="B69" s="1">
        <v>64031241</v>
      </c>
      <c r="C69" s="14" t="s">
        <v>23</v>
      </c>
      <c r="D69" s="14" t="s">
        <v>17</v>
      </c>
      <c r="E69" s="1" t="s">
        <v>122</v>
      </c>
      <c r="F69" s="37" t="s">
        <v>123</v>
      </c>
      <c r="G69" s="307">
        <v>273869</v>
      </c>
      <c r="H69" s="51">
        <v>-1.305716E-2</v>
      </c>
      <c r="I69" s="51">
        <v>5.8789200000000002E-3</v>
      </c>
      <c r="J69" s="13">
        <v>2.6349999999999998E-2</v>
      </c>
      <c r="K69" s="1" t="s">
        <v>1065</v>
      </c>
      <c r="L69" s="307">
        <f t="shared" si="4"/>
        <v>250097</v>
      </c>
      <c r="M69" s="29">
        <v>4.8899999999999999E-2</v>
      </c>
      <c r="N69" s="29">
        <v>6.0000000000000001E-3</v>
      </c>
      <c r="O69" s="16">
        <v>6.7400000000000001E-16</v>
      </c>
      <c r="P69" s="759">
        <f t="shared" si="5"/>
        <v>4.2501991599999997E-2</v>
      </c>
      <c r="Q69" s="760">
        <f t="shared" si="6"/>
        <v>6.6556941229275737E-3</v>
      </c>
      <c r="R69" s="761">
        <f t="shared" si="7"/>
        <v>5.5713307697253601E-10</v>
      </c>
    </row>
    <row r="70" spans="1:21" x14ac:dyDescent="0.25">
      <c r="A70" s="19">
        <v>12</v>
      </c>
      <c r="B70" s="1">
        <v>124265687</v>
      </c>
      <c r="C70" s="14" t="s">
        <v>23</v>
      </c>
      <c r="D70" s="14" t="s">
        <v>17</v>
      </c>
      <c r="E70" s="1" t="s">
        <v>143</v>
      </c>
      <c r="F70" s="37" t="s">
        <v>940</v>
      </c>
      <c r="G70" s="307">
        <v>274807</v>
      </c>
      <c r="H70" s="51">
        <v>-3.60845E-3</v>
      </c>
      <c r="I70" s="51">
        <v>2.87798E-3</v>
      </c>
      <c r="J70" s="13">
        <v>0.20991044</v>
      </c>
      <c r="L70" s="307">
        <f t="shared" si="4"/>
        <v>250054</v>
      </c>
      <c r="M70" s="29">
        <v>2.9100000000000001E-2</v>
      </c>
      <c r="N70" s="29">
        <v>3.0000000000000001E-3</v>
      </c>
      <c r="O70" s="16">
        <v>3.0799999999999998E-22</v>
      </c>
      <c r="P70" s="759">
        <f t="shared" si="5"/>
        <v>2.73318595E-2</v>
      </c>
      <c r="Q70" s="760">
        <f t="shared" si="6"/>
        <v>3.3149197287693165E-3</v>
      </c>
      <c r="R70" s="761">
        <f t="shared" si="7"/>
        <v>6.900190554732409E-16</v>
      </c>
    </row>
    <row r="71" spans="1:21" x14ac:dyDescent="0.25">
      <c r="A71" s="19">
        <v>12</v>
      </c>
      <c r="B71" s="1">
        <v>124330311</v>
      </c>
      <c r="C71" s="14" t="s">
        <v>17</v>
      </c>
      <c r="D71" s="14" t="s">
        <v>23</v>
      </c>
      <c r="E71" s="1" t="s">
        <v>146</v>
      </c>
      <c r="F71" s="37" t="s">
        <v>940</v>
      </c>
      <c r="G71" s="307">
        <v>274807</v>
      </c>
      <c r="H71" s="51">
        <v>-1.0491250000000001E-2</v>
      </c>
      <c r="I71" s="51">
        <v>4.4865399999999998E-3</v>
      </c>
      <c r="J71" s="13">
        <v>1.9367329999999999E-2</v>
      </c>
      <c r="K71" s="1" t="s">
        <v>1065</v>
      </c>
      <c r="L71" s="307">
        <f t="shared" si="4"/>
        <v>250066</v>
      </c>
      <c r="M71" s="29">
        <v>4.2799999999999998E-2</v>
      </c>
      <c r="N71" s="29">
        <v>4.5999999999999999E-3</v>
      </c>
      <c r="O71" s="16">
        <v>1.3800000000000001E-20</v>
      </c>
      <c r="P71" s="759">
        <f t="shared" si="5"/>
        <v>3.7659287499999999E-2</v>
      </c>
      <c r="Q71" s="760">
        <f t="shared" si="6"/>
        <v>5.0983313726454815E-3</v>
      </c>
      <c r="R71" s="761">
        <f t="shared" si="7"/>
        <v>5.6621632307279204E-13</v>
      </c>
    </row>
    <row r="72" spans="1:21" x14ac:dyDescent="0.25">
      <c r="A72" s="19">
        <v>12</v>
      </c>
      <c r="B72" s="1">
        <v>124427306</v>
      </c>
      <c r="C72" s="14" t="s">
        <v>23</v>
      </c>
      <c r="D72" s="14" t="s">
        <v>16</v>
      </c>
      <c r="E72" s="1" t="s">
        <v>149</v>
      </c>
      <c r="F72" s="37" t="s">
        <v>941</v>
      </c>
      <c r="G72" s="307">
        <v>262300</v>
      </c>
      <c r="H72" s="51">
        <v>-1.135745E-2</v>
      </c>
      <c r="I72" s="51">
        <v>3.0769E-3</v>
      </c>
      <c r="J72" s="13">
        <v>2.2319000000000001E-4</v>
      </c>
      <c r="K72" s="1" t="s">
        <v>1065</v>
      </c>
      <c r="L72" s="307">
        <f t="shared" si="4"/>
        <v>244678</v>
      </c>
      <c r="M72" s="29">
        <v>4.3299999999999998E-2</v>
      </c>
      <c r="N72" s="29">
        <v>3.2000000000000002E-3</v>
      </c>
      <c r="O72" s="16">
        <v>1.022697E-41</v>
      </c>
      <c r="P72" s="759">
        <f t="shared" si="5"/>
        <v>3.7734849500000001E-2</v>
      </c>
      <c r="Q72" s="760">
        <f t="shared" si="6"/>
        <v>3.5373863229453749E-3</v>
      </c>
      <c r="R72" s="761">
        <f t="shared" si="7"/>
        <v>7.7768897680539131E-26</v>
      </c>
    </row>
    <row r="73" spans="1:21" x14ac:dyDescent="0.25">
      <c r="A73" s="25">
        <v>19</v>
      </c>
      <c r="B73" s="318">
        <v>8429323</v>
      </c>
      <c r="C73" s="21" t="s">
        <v>24</v>
      </c>
      <c r="D73" s="21" t="s">
        <v>16</v>
      </c>
      <c r="E73" s="318" t="s">
        <v>261</v>
      </c>
      <c r="F73" s="40" t="s">
        <v>262</v>
      </c>
      <c r="G73" s="307">
        <v>264143</v>
      </c>
      <c r="H73" s="53">
        <v>-8.2384899999999994E-3</v>
      </c>
      <c r="I73" s="53">
        <v>1.010525E-2</v>
      </c>
      <c r="J73" s="26">
        <v>0.41491876999999999</v>
      </c>
      <c r="K73" s="318"/>
      <c r="L73" s="196">
        <f t="shared" si="4"/>
        <v>243351</v>
      </c>
      <c r="M73" s="30">
        <v>6.4299999999999996E-2</v>
      </c>
      <c r="N73" s="30">
        <v>1.06E-2</v>
      </c>
      <c r="O73" s="27">
        <v>1.2E-9</v>
      </c>
      <c r="P73" s="762">
        <f t="shared" si="5"/>
        <v>6.0263139899999998E-2</v>
      </c>
      <c r="Q73" s="763">
        <f t="shared" si="6"/>
        <v>1.1699490169351665E-2</v>
      </c>
      <c r="R73" s="764">
        <f t="shared" si="7"/>
        <v>6.9113695429787168E-7</v>
      </c>
    </row>
    <row r="74" spans="1:21" x14ac:dyDescent="0.25">
      <c r="A74" s="1071" t="s">
        <v>5575</v>
      </c>
      <c r="B74" s="769"/>
      <c r="C74" s="769"/>
      <c r="D74" s="769"/>
      <c r="E74" s="769"/>
      <c r="F74" s="770"/>
      <c r="G74" s="1157"/>
      <c r="H74" s="771"/>
      <c r="I74" s="771"/>
      <c r="J74" s="772"/>
      <c r="K74" s="769"/>
      <c r="L74" s="1072"/>
      <c r="M74" s="769"/>
      <c r="N74" s="769"/>
      <c r="O74" s="772"/>
      <c r="P74" s="771"/>
      <c r="Q74" s="771"/>
      <c r="R74" s="772"/>
      <c r="T74" s="35"/>
    </row>
    <row r="75" spans="1:21" x14ac:dyDescent="0.25">
      <c r="A75" s="19">
        <v>13</v>
      </c>
      <c r="B75" s="177">
        <v>96665697</v>
      </c>
      <c r="C75" s="177" t="s">
        <v>16</v>
      </c>
      <c r="D75" s="177" t="s">
        <v>24</v>
      </c>
      <c r="E75" s="177" t="s">
        <v>246</v>
      </c>
      <c r="F75" s="39" t="s">
        <v>247</v>
      </c>
      <c r="G75" s="1162">
        <v>226445</v>
      </c>
      <c r="H75" s="51">
        <v>-1.9182419999999999E-2</v>
      </c>
      <c r="I75" s="51">
        <v>2.1729289999999998E-2</v>
      </c>
      <c r="J75" s="13">
        <v>0.37734942999999999</v>
      </c>
      <c r="K75" s="19"/>
      <c r="L75" s="307">
        <f>VLOOKUP(E75,allm,10, FALSE)</f>
        <v>203009</v>
      </c>
      <c r="M75" s="51">
        <v>0.12989999999999999</v>
      </c>
      <c r="N75" s="51">
        <v>2.4E-2</v>
      </c>
      <c r="O75" s="773">
        <v>6.1399999999999994E-8</v>
      </c>
      <c r="P75" s="1093">
        <f t="shared" ref="P75" si="8">M75+H75*0.49</f>
        <v>0.12050061419999999</v>
      </c>
      <c r="Q75" s="1094">
        <f t="shared" ref="Q75" si="9" xml:space="preserve"> SQRT(N75^2 + ((I75^2)*(0.49^2)))</f>
        <v>2.6255782348682248E-2</v>
      </c>
      <c r="R75" s="1095">
        <f t="shared" ref="R75" si="10">_xlfn.NORM.S.DIST((P75/Q75),FALSE)</f>
        <v>1.0642646087384619E-5</v>
      </c>
    </row>
    <row r="76" spans="1:21" x14ac:dyDescent="0.25">
      <c r="A76" s="25">
        <v>14</v>
      </c>
      <c r="B76" s="318">
        <v>23312594</v>
      </c>
      <c r="C76" s="318" t="s">
        <v>16</v>
      </c>
      <c r="D76" s="318" t="s">
        <v>24</v>
      </c>
      <c r="E76" s="318" t="s">
        <v>251</v>
      </c>
      <c r="F76" s="40" t="s">
        <v>252</v>
      </c>
      <c r="G76" s="196">
        <v>251689</v>
      </c>
      <c r="H76" s="53">
        <v>-7.9822699999999996E-3</v>
      </c>
      <c r="I76" s="53">
        <v>3.6010899999999999E-3</v>
      </c>
      <c r="J76" s="774">
        <v>2.664884E-2</v>
      </c>
      <c r="K76" s="25" t="s">
        <v>1065</v>
      </c>
      <c r="L76" s="307">
        <f>VLOOKUP(E76,allm,10, FALSE)</f>
        <v>226646</v>
      </c>
      <c r="M76" s="53">
        <v>2.06E-2</v>
      </c>
      <c r="N76" s="53">
        <v>3.7000000000000002E-3</v>
      </c>
      <c r="O76" s="774">
        <v>2.6000000000000001E-8</v>
      </c>
      <c r="P76" s="762">
        <f>M76+H76*0.49</f>
        <v>1.66886877E-2</v>
      </c>
      <c r="Q76" s="763">
        <f xml:space="preserve"> SQRT(N76^2 + ((I76^2)*(0.49^2)))</f>
        <v>4.0992170703760995E-3</v>
      </c>
      <c r="R76" s="764">
        <f>_xlfn.NORM.S.DIST((P76/Q76),FALSE)</f>
        <v>1.0041201136047694E-4</v>
      </c>
      <c r="U76" s="3"/>
    </row>
    <row r="77" spans="1:21" s="639" customFormat="1" x14ac:dyDescent="0.25">
      <c r="A77" s="1073" t="s">
        <v>264</v>
      </c>
      <c r="B77" s="775"/>
      <c r="C77" s="775"/>
      <c r="D77" s="775"/>
      <c r="E77" s="775"/>
      <c r="F77" s="775"/>
      <c r="G77" s="1209"/>
      <c r="H77" s="775"/>
      <c r="I77" s="775"/>
      <c r="J77" s="775"/>
      <c r="K77" s="775"/>
      <c r="L77" s="1158"/>
      <c r="M77" s="775"/>
      <c r="N77" s="775"/>
      <c r="O77" s="775"/>
      <c r="P77" s="775"/>
      <c r="Q77" s="775"/>
      <c r="R77" s="775"/>
      <c r="S77" s="2"/>
      <c r="T77" s="776"/>
      <c r="U77" s="776"/>
    </row>
    <row r="78" spans="1:21" s="639" customFormat="1" x14ac:dyDescent="0.25">
      <c r="A78" s="777">
        <v>20</v>
      </c>
      <c r="B78" s="738">
        <v>33971914</v>
      </c>
      <c r="C78" s="738" t="s">
        <v>23</v>
      </c>
      <c r="D78" s="738" t="s">
        <v>17</v>
      </c>
      <c r="E78" s="738" t="s">
        <v>193</v>
      </c>
      <c r="F78" s="739" t="s">
        <v>265</v>
      </c>
      <c r="G78" s="142">
        <v>209068</v>
      </c>
      <c r="H78" s="778">
        <v>-2.5842510000000001E-3</v>
      </c>
      <c r="I78" s="778">
        <v>3.3020060000000001E-3</v>
      </c>
      <c r="J78" s="779">
        <v>0.43384410499999998</v>
      </c>
      <c r="K78" s="739"/>
      <c r="L78" s="1163">
        <v>193393</v>
      </c>
      <c r="M78" s="780">
        <v>2.53E-2</v>
      </c>
      <c r="N78" s="780">
        <v>3.3E-3</v>
      </c>
      <c r="O78" s="741">
        <v>2.64E-14</v>
      </c>
      <c r="P78" s="1096">
        <f t="shared" ref="P78" si="11">M78+H78*0.49</f>
        <v>2.403371701E-2</v>
      </c>
      <c r="Q78" s="1097">
        <f t="shared" ref="Q78" si="12" xml:space="preserve"> SQRT(N78^2 + ((I78^2)*(0.49^2)))</f>
        <v>3.6753052654345656E-3</v>
      </c>
      <c r="R78" s="1098">
        <f t="shared" ref="R78" si="13">_xlfn.NORM.S.DIST((P78/Q78),FALSE)</f>
        <v>2.0669166250479524E-10</v>
      </c>
      <c r="S78" s="2"/>
      <c r="T78" s="740"/>
      <c r="U78" s="640"/>
    </row>
    <row r="79" spans="1:21" x14ac:dyDescent="0.25">
      <c r="A79" s="1144" t="s">
        <v>1067</v>
      </c>
    </row>
    <row r="80" spans="1:21" ht="29.25" customHeight="1" x14ac:dyDescent="0.25">
      <c r="A80" s="1405" t="s">
        <v>5558</v>
      </c>
      <c r="B80" s="1405"/>
      <c r="C80" s="1405"/>
      <c r="D80" s="1405"/>
      <c r="E80" s="1405"/>
      <c r="F80" s="1405"/>
      <c r="G80" s="1405"/>
      <c r="H80" s="1405"/>
      <c r="I80" s="1405"/>
      <c r="J80" s="1405"/>
      <c r="K80" s="1405"/>
      <c r="L80" s="1405"/>
      <c r="M80" s="1405"/>
      <c r="N80" s="1405"/>
      <c r="O80" s="1405"/>
      <c r="P80" s="1405"/>
      <c r="Q80" s="1405"/>
      <c r="R80" s="1405"/>
    </row>
    <row r="81" spans="1:1" x14ac:dyDescent="0.25">
      <c r="A81" s="1140" t="s">
        <v>227</v>
      </c>
    </row>
    <row r="82" spans="1:1" x14ac:dyDescent="0.25">
      <c r="A82" s="1144" t="s">
        <v>1068</v>
      </c>
    </row>
    <row r="83" spans="1:1" x14ac:dyDescent="0.25">
      <c r="A83" s="108" t="s">
        <v>1069</v>
      </c>
    </row>
  </sheetData>
  <mergeCells count="5">
    <mergeCell ref="A1:R1"/>
    <mergeCell ref="G2:J2"/>
    <mergeCell ref="L2:O2"/>
    <mergeCell ref="P2:R2"/>
    <mergeCell ref="A80:R80"/>
  </mergeCells>
  <conditionalFormatting sqref="J79 J5:J52 J57:J73 J81:J1048576">
    <cfRule type="cellIs" dxfId="90" priority="15" operator="lessThan">
      <formula>0.05</formula>
    </cfRule>
  </conditionalFormatting>
  <conditionalFormatting sqref="O79 O5:O52 O57 O81:O1048576 R2:R4">
    <cfRule type="cellIs" dxfId="89" priority="14" operator="lessThan">
      <formula>0.0000002</formula>
    </cfRule>
  </conditionalFormatting>
  <conditionalFormatting sqref="R79 R81:R1048576">
    <cfRule type="cellIs" dxfId="88" priority="13" operator="lessThan">
      <formula>0.0000002</formula>
    </cfRule>
  </conditionalFormatting>
  <conditionalFormatting sqref="O3:O4">
    <cfRule type="cellIs" dxfId="87" priority="12" operator="lessThan">
      <formula>0.0000002</formula>
    </cfRule>
  </conditionalFormatting>
  <conditionalFormatting sqref="J3:J4">
    <cfRule type="cellIs" dxfId="86" priority="11" operator="lessThan">
      <formula>0.0000002</formula>
    </cfRule>
  </conditionalFormatting>
  <conditionalFormatting sqref="O58:O73">
    <cfRule type="cellIs" dxfId="85" priority="9" operator="lessThan">
      <formula>0.0000002</formula>
    </cfRule>
    <cfRule type="cellIs" dxfId="84" priority="10" operator="lessThan">
      <formula>0.05</formula>
    </cfRule>
  </conditionalFormatting>
  <conditionalFormatting sqref="O74">
    <cfRule type="cellIs" dxfId="83" priority="7" operator="lessThan">
      <formula>0.0000002</formula>
    </cfRule>
  </conditionalFormatting>
  <conditionalFormatting sqref="J74">
    <cfRule type="cellIs" dxfId="82" priority="8" operator="lessThan">
      <formula>0.05</formula>
    </cfRule>
  </conditionalFormatting>
  <conditionalFormatting sqref="J53">
    <cfRule type="cellIs" dxfId="81" priority="6" operator="lessThan">
      <formula>0.00098</formula>
    </cfRule>
  </conditionalFormatting>
  <conditionalFormatting sqref="J54">
    <cfRule type="cellIs" dxfId="80" priority="5" operator="lessThan">
      <formula>0.00098</formula>
    </cfRule>
  </conditionalFormatting>
  <conditionalFormatting sqref="J55">
    <cfRule type="cellIs" dxfId="79" priority="4" operator="lessThan">
      <formula>0.00098</formula>
    </cfRule>
  </conditionalFormatting>
  <conditionalFormatting sqref="J56">
    <cfRule type="cellIs" dxfId="78" priority="3" operator="lessThan">
      <formula>0.00098</formula>
    </cfRule>
  </conditionalFormatting>
  <conditionalFormatting sqref="J78">
    <cfRule type="cellIs" dxfId="77" priority="2" operator="lessThan">
      <formula>0.00098</formula>
    </cfRule>
  </conditionalFormatting>
  <conditionalFormatting sqref="R5:R78">
    <cfRule type="cellIs" dxfId="76" priority="1" operator="lessThan">
      <formula>0.000909090909090909</formula>
    </cfRule>
  </conditionalFormatting>
  <pageMargins left="0.5" right="0.5" top="0.5" bottom="0.5" header="0.05" footer="0.05"/>
  <pageSetup scale="57"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20"/>
  <sheetViews>
    <sheetView workbookViewId="0">
      <selection activeCell="A2" sqref="A2"/>
    </sheetView>
  </sheetViews>
  <sheetFormatPr defaultColWidth="9.140625" defaultRowHeight="15" x14ac:dyDescent="0.25"/>
  <cols>
    <col min="1" max="1" width="15.140625" style="176" customWidth="1"/>
    <col min="2" max="2" width="9.28515625" style="181" bestFit="1" customWidth="1"/>
    <col min="3" max="3" width="16.7109375" style="625" customWidth="1"/>
    <col min="4" max="4" width="7.7109375" style="181" bestFit="1" customWidth="1"/>
    <col min="5" max="5" width="13.28515625" style="181" customWidth="1"/>
    <col min="6" max="6" width="13.28515625" style="1080" customWidth="1"/>
    <col min="7" max="7" width="9.140625" style="181" bestFit="1" customWidth="1"/>
    <col min="8" max="8" width="15" style="181" customWidth="1"/>
    <col min="9" max="9" width="13" style="181" customWidth="1"/>
    <col min="10" max="10" width="9.140625" style="181" bestFit="1" customWidth="1"/>
    <col min="11" max="11" width="15.28515625" style="181" customWidth="1"/>
    <col min="12" max="12" width="27.7109375" style="181" customWidth="1"/>
    <col min="13" max="14" width="9.140625" style="181"/>
    <col min="15" max="15" width="7" style="181" customWidth="1"/>
    <col min="16" max="16" width="8.85546875" style="181" customWidth="1"/>
    <col min="17" max="17" width="9.85546875" style="181" bestFit="1" customWidth="1"/>
    <col min="18" max="18" width="8.7109375" style="181" customWidth="1"/>
    <col min="19" max="23" width="9.140625" style="181"/>
    <col min="24" max="24" width="15.28515625" style="181" customWidth="1"/>
    <col min="25" max="25" width="15.42578125" style="181" customWidth="1"/>
    <col min="26" max="16384" width="9.140625" style="181"/>
  </cols>
  <sheetData>
    <row r="1" spans="1:16" s="242" customFormat="1" ht="41.25" customHeight="1" x14ac:dyDescent="0.25">
      <c r="A1" s="1414" t="s">
        <v>5915</v>
      </c>
      <c r="B1" s="1414"/>
      <c r="C1" s="1414"/>
      <c r="D1" s="1414"/>
      <c r="E1" s="1414"/>
      <c r="F1" s="1414"/>
      <c r="G1" s="1414"/>
      <c r="H1" s="1414"/>
      <c r="I1" s="1414"/>
      <c r="J1" s="1414"/>
      <c r="K1" s="1414"/>
      <c r="L1" s="1414"/>
    </row>
    <row r="2" spans="1:16" s="243" customFormat="1" ht="29.25" customHeight="1" x14ac:dyDescent="0.25">
      <c r="A2" s="818"/>
      <c r="B2" s="818"/>
      <c r="C2" s="818"/>
      <c r="D2" s="180"/>
      <c r="E2" s="180"/>
      <c r="F2" s="180"/>
      <c r="G2" s="1415" t="s">
        <v>1070</v>
      </c>
      <c r="H2" s="1416"/>
      <c r="I2" s="1417"/>
      <c r="J2" s="1415" t="s">
        <v>1071</v>
      </c>
      <c r="K2" s="1416"/>
      <c r="L2" s="1416"/>
      <c r="M2" s="818"/>
      <c r="N2" s="818"/>
      <c r="O2" s="818"/>
      <c r="P2" s="818"/>
    </row>
    <row r="3" spans="1:16" s="176" customFormat="1" ht="28.5" customHeight="1" x14ac:dyDescent="0.25">
      <c r="A3" s="1313" t="s">
        <v>1072</v>
      </c>
      <c r="B3" s="1313" t="s">
        <v>1073</v>
      </c>
      <c r="C3" s="1409" t="s">
        <v>1074</v>
      </c>
      <c r="D3" s="1313" t="s">
        <v>7</v>
      </c>
      <c r="E3" s="1314" t="s">
        <v>1075</v>
      </c>
      <c r="F3" s="1079"/>
      <c r="G3" s="1413" t="s">
        <v>1076</v>
      </c>
      <c r="H3" s="185" t="s">
        <v>1077</v>
      </c>
      <c r="I3" s="191" t="s">
        <v>1078</v>
      </c>
      <c r="J3" s="1413" t="s">
        <v>1076</v>
      </c>
      <c r="K3" s="185" t="s">
        <v>1077</v>
      </c>
      <c r="L3" s="830" t="s">
        <v>1078</v>
      </c>
      <c r="M3" s="829"/>
      <c r="N3" s="829"/>
      <c r="O3" s="829"/>
      <c r="P3" s="829"/>
    </row>
    <row r="4" spans="1:16" s="176" customFormat="1" x14ac:dyDescent="0.25">
      <c r="A4" s="1310"/>
      <c r="B4" s="1310"/>
      <c r="C4" s="1410"/>
      <c r="D4" s="1310"/>
      <c r="E4" s="1311"/>
      <c r="F4" s="1079"/>
      <c r="G4" s="1413"/>
      <c r="H4" s="829" t="s">
        <v>11</v>
      </c>
      <c r="I4" s="829" t="s">
        <v>11</v>
      </c>
      <c r="J4" s="1413"/>
      <c r="K4" s="829" t="s">
        <v>11</v>
      </c>
      <c r="L4" s="829" t="s">
        <v>11</v>
      </c>
      <c r="M4" s="829"/>
      <c r="N4" s="829"/>
      <c r="O4" s="829"/>
      <c r="P4" s="829"/>
    </row>
    <row r="5" spans="1:16" s="176" customFormat="1" x14ac:dyDescent="0.25">
      <c r="A5" s="1412" t="s">
        <v>1079</v>
      </c>
      <c r="B5" s="1412"/>
      <c r="C5" s="1412"/>
      <c r="D5" s="1412"/>
      <c r="E5" s="1412"/>
      <c r="F5" s="1412"/>
      <c r="G5" s="1412"/>
      <c r="H5" s="1412"/>
      <c r="I5" s="1412"/>
      <c r="J5" s="1412"/>
      <c r="K5" s="1412"/>
      <c r="L5" s="1412"/>
      <c r="M5" s="829"/>
      <c r="N5" s="829"/>
      <c r="O5" s="829"/>
      <c r="P5" s="829"/>
    </row>
    <row r="6" spans="1:16" s="176" customFormat="1" x14ac:dyDescent="0.25">
      <c r="A6" s="180" t="s">
        <v>1080</v>
      </c>
      <c r="B6" s="199" t="s">
        <v>132</v>
      </c>
      <c r="C6" s="626" t="s">
        <v>1081</v>
      </c>
      <c r="D6" s="626">
        <v>344369</v>
      </c>
      <c r="E6" s="626" t="s">
        <v>130</v>
      </c>
      <c r="F6" s="626"/>
      <c r="G6" s="140">
        <v>19</v>
      </c>
      <c r="H6" s="141">
        <v>2.7099999999999999E-14</v>
      </c>
      <c r="I6" s="583">
        <v>0.36271300000000001</v>
      </c>
      <c r="J6" s="140">
        <v>18</v>
      </c>
      <c r="K6" s="141">
        <v>9.9200000000000005E-9</v>
      </c>
      <c r="L6" s="141">
        <v>0.77301699999999995</v>
      </c>
      <c r="M6" s="829"/>
      <c r="N6" s="829"/>
      <c r="O6" s="829"/>
      <c r="P6" s="829"/>
    </row>
    <row r="7" spans="1:16" x14ac:dyDescent="0.25">
      <c r="A7" s="198"/>
      <c r="B7" s="200" t="s">
        <v>132</v>
      </c>
      <c r="C7" s="627" t="s">
        <v>1082</v>
      </c>
      <c r="D7" s="627">
        <v>344369</v>
      </c>
      <c r="E7" s="627" t="s">
        <v>130</v>
      </c>
      <c r="F7" s="627"/>
      <c r="G7" s="142">
        <v>7</v>
      </c>
      <c r="H7" s="143">
        <v>6.8900000000000002E-14</v>
      </c>
      <c r="I7" s="584">
        <v>0.21709700000000001</v>
      </c>
      <c r="J7" s="142">
        <v>7</v>
      </c>
      <c r="K7" s="143">
        <v>2.1600000000000001E-12</v>
      </c>
      <c r="L7" s="143">
        <v>0.88598600000000005</v>
      </c>
      <c r="M7" s="835"/>
      <c r="N7" s="835"/>
      <c r="O7" s="835"/>
      <c r="P7" s="835"/>
    </row>
    <row r="8" spans="1:16" s="176" customFormat="1" x14ac:dyDescent="0.25">
      <c r="A8" s="180" t="s">
        <v>1083</v>
      </c>
      <c r="B8" s="199" t="s">
        <v>132</v>
      </c>
      <c r="C8" s="626" t="s">
        <v>1081</v>
      </c>
      <c r="D8" s="626">
        <v>180131</v>
      </c>
      <c r="E8" s="626" t="s">
        <v>130</v>
      </c>
      <c r="F8" s="626"/>
      <c r="G8" s="140">
        <v>18</v>
      </c>
      <c r="H8" s="141">
        <v>4.5099999999999999E-10</v>
      </c>
      <c r="I8" s="583">
        <v>0.72977400000000003</v>
      </c>
      <c r="J8" s="140">
        <v>17</v>
      </c>
      <c r="K8" s="141">
        <v>4.4400000000000001E-7</v>
      </c>
      <c r="L8" s="141">
        <v>0.83477199999999996</v>
      </c>
      <c r="M8" s="829"/>
      <c r="N8" s="829"/>
      <c r="O8" s="829"/>
      <c r="P8" s="829"/>
    </row>
    <row r="9" spans="1:16" s="176" customFormat="1" x14ac:dyDescent="0.25">
      <c r="A9" s="180"/>
      <c r="B9" s="199" t="s">
        <v>132</v>
      </c>
      <c r="C9" s="626" t="s">
        <v>1082</v>
      </c>
      <c r="D9" s="626">
        <v>180131</v>
      </c>
      <c r="E9" s="626" t="s">
        <v>130</v>
      </c>
      <c r="F9" s="626"/>
      <c r="G9" s="140">
        <v>6</v>
      </c>
      <c r="H9" s="141">
        <v>5.9000000000000003E-10</v>
      </c>
      <c r="I9" s="583">
        <v>0.329623</v>
      </c>
      <c r="J9" s="140">
        <v>6</v>
      </c>
      <c r="K9" s="141">
        <v>2.88E-8</v>
      </c>
      <c r="L9" s="141">
        <v>0.77332400000000001</v>
      </c>
      <c r="M9" s="829"/>
      <c r="N9" s="829"/>
      <c r="O9" s="829"/>
      <c r="P9" s="829"/>
    </row>
    <row r="10" spans="1:16" s="620" customFormat="1" x14ac:dyDescent="0.25">
      <c r="A10" s="180"/>
      <c r="B10" s="36" t="s">
        <v>33</v>
      </c>
      <c r="C10" s="626" t="s">
        <v>1081</v>
      </c>
      <c r="D10" s="626">
        <v>180131</v>
      </c>
      <c r="E10" s="621" t="s">
        <v>31</v>
      </c>
      <c r="F10" s="621"/>
      <c r="G10" s="607">
        <v>5</v>
      </c>
      <c r="H10" s="251">
        <v>3.62262E-8</v>
      </c>
      <c r="I10" s="583">
        <v>9.4604200000000006E-3</v>
      </c>
      <c r="J10" s="376">
        <v>5</v>
      </c>
      <c r="K10" s="251">
        <v>5.8312099999999998E-8</v>
      </c>
      <c r="L10" s="141">
        <v>0.140267</v>
      </c>
      <c r="M10" s="622" t="s">
        <v>1</v>
      </c>
      <c r="N10" s="626"/>
      <c r="O10" s="626"/>
      <c r="P10" s="626"/>
    </row>
    <row r="11" spans="1:16" ht="17.25" x14ac:dyDescent="0.25">
      <c r="A11" s="180"/>
      <c r="B11" s="199" t="s">
        <v>262</v>
      </c>
      <c r="C11" s="626" t="s">
        <v>1081</v>
      </c>
      <c r="D11" s="626">
        <v>180131</v>
      </c>
      <c r="E11" s="626" t="s">
        <v>260</v>
      </c>
      <c r="F11" s="626"/>
      <c r="G11" s="140">
        <v>8</v>
      </c>
      <c r="H11" s="141">
        <v>8.8700000000000004E-7</v>
      </c>
      <c r="I11" s="583">
        <v>0.38890400000000003</v>
      </c>
      <c r="J11" s="1408" t="s">
        <v>1084</v>
      </c>
      <c r="K11" s="1331"/>
      <c r="L11" s="1331"/>
      <c r="M11" s="835"/>
      <c r="N11" s="835"/>
      <c r="O11" s="835"/>
      <c r="P11" s="835"/>
    </row>
    <row r="12" spans="1:16" s="176" customFormat="1" x14ac:dyDescent="0.25">
      <c r="A12" s="1412" t="s">
        <v>961</v>
      </c>
      <c r="B12" s="1412"/>
      <c r="C12" s="1412"/>
      <c r="D12" s="1412"/>
      <c r="E12" s="1412"/>
      <c r="F12" s="1412"/>
      <c r="G12" s="1412"/>
      <c r="H12" s="1412"/>
      <c r="I12" s="1412"/>
      <c r="J12" s="1412"/>
      <c r="K12" s="1412"/>
      <c r="L12" s="1412"/>
      <c r="M12" s="829"/>
      <c r="N12" s="829"/>
      <c r="O12" s="829"/>
      <c r="P12" s="829"/>
    </row>
    <row r="13" spans="1:16" ht="17.25" x14ac:dyDescent="0.25">
      <c r="A13" s="829" t="s">
        <v>1080</v>
      </c>
      <c r="B13" s="201" t="s">
        <v>1085</v>
      </c>
      <c r="C13" s="626" t="s">
        <v>1081</v>
      </c>
      <c r="D13" s="192">
        <v>288492</v>
      </c>
      <c r="E13" s="193" t="s">
        <v>1086</v>
      </c>
      <c r="F13" s="1101">
        <v>7.9264699999999996E-7</v>
      </c>
      <c r="G13" s="1408" t="s">
        <v>1084</v>
      </c>
      <c r="H13" s="1331"/>
      <c r="I13" s="1331"/>
      <c r="J13" s="190">
        <v>4</v>
      </c>
      <c r="K13" s="182">
        <v>7.9264699999999996E-7</v>
      </c>
      <c r="L13" s="581">
        <v>0.57025000000000003</v>
      </c>
      <c r="M13" s="835"/>
      <c r="N13" s="835"/>
      <c r="O13" s="835"/>
      <c r="P13" s="835"/>
    </row>
    <row r="14" spans="1:16" ht="17.25" x14ac:dyDescent="0.25">
      <c r="A14" s="195" t="s">
        <v>1083</v>
      </c>
      <c r="B14" s="828" t="s">
        <v>1087</v>
      </c>
      <c r="C14" s="627" t="s">
        <v>1081</v>
      </c>
      <c r="D14" s="163">
        <v>157516</v>
      </c>
      <c r="E14" s="836" t="s">
        <v>1088</v>
      </c>
      <c r="F14" s="1100">
        <v>3.6381499999999997E-5</v>
      </c>
      <c r="G14" s="196">
        <v>15</v>
      </c>
      <c r="H14" s="197">
        <v>1.62353E-6</v>
      </c>
      <c r="I14" s="582">
        <v>6.8733900000000001E-2</v>
      </c>
      <c r="J14" s="1406" t="s">
        <v>1084</v>
      </c>
      <c r="K14" s="1407"/>
      <c r="L14" s="1407"/>
      <c r="M14" s="835"/>
      <c r="N14" s="835"/>
      <c r="O14" s="184"/>
      <c r="P14" s="184"/>
    </row>
    <row r="15" spans="1:16" ht="15.75" customHeight="1" x14ac:dyDescent="0.25">
      <c r="A15" s="186" t="s">
        <v>1089</v>
      </c>
      <c r="B15" s="187"/>
      <c r="C15" s="641"/>
      <c r="D15" s="183"/>
      <c r="E15" s="183"/>
      <c r="F15" s="183"/>
      <c r="G15" s="183"/>
      <c r="H15" s="183"/>
      <c r="I15" s="183"/>
      <c r="J15" s="184"/>
      <c r="K15" s="184"/>
      <c r="L15" s="184"/>
      <c r="M15" s="835"/>
      <c r="N15" s="835"/>
      <c r="O15" s="184"/>
      <c r="P15" s="184"/>
    </row>
    <row r="16" spans="1:16" ht="46.35" customHeight="1" x14ac:dyDescent="0.25">
      <c r="A16" s="1411" t="s">
        <v>1090</v>
      </c>
      <c r="B16" s="1411"/>
      <c r="C16" s="1411"/>
      <c r="D16" s="1411"/>
      <c r="E16" s="1411"/>
      <c r="F16" s="1411"/>
      <c r="G16" s="1411"/>
      <c r="H16" s="1411"/>
      <c r="I16" s="1411"/>
      <c r="J16" s="1411"/>
      <c r="K16" s="1411"/>
      <c r="L16" s="1411"/>
      <c r="M16" s="733" t="s">
        <v>1</v>
      </c>
      <c r="N16" s="835"/>
      <c r="O16" s="835"/>
      <c r="P16" s="835"/>
    </row>
    <row r="17" spans="1:12" x14ac:dyDescent="0.25">
      <c r="A17" s="188" t="s">
        <v>1091</v>
      </c>
      <c r="B17" s="189"/>
      <c r="C17" s="642"/>
      <c r="D17" s="189"/>
      <c r="E17" s="189"/>
      <c r="F17" s="189"/>
      <c r="G17" s="189"/>
      <c r="H17" s="189"/>
      <c r="I17" s="189"/>
      <c r="J17" s="184"/>
      <c r="K17" s="184"/>
      <c r="L17" s="184"/>
    </row>
    <row r="18" spans="1:12" s="184" customFormat="1" x14ac:dyDescent="0.25">
      <c r="A18" s="194" t="s">
        <v>1092</v>
      </c>
      <c r="B18" s="835"/>
      <c r="C18" s="835"/>
      <c r="D18" s="835"/>
      <c r="E18" s="835"/>
      <c r="F18" s="1080"/>
      <c r="G18" s="835"/>
      <c r="H18" s="835"/>
      <c r="I18" s="835"/>
      <c r="J18" s="835"/>
      <c r="K18" s="835"/>
      <c r="L18" s="835"/>
    </row>
    <row r="19" spans="1:12" x14ac:dyDescent="0.25">
      <c r="A19" s="194" t="s">
        <v>1093</v>
      </c>
      <c r="B19" s="835"/>
      <c r="C19" s="835"/>
      <c r="D19" s="835"/>
      <c r="E19" s="835"/>
      <c r="G19" s="835"/>
      <c r="H19" s="835"/>
      <c r="I19" s="835"/>
      <c r="J19" s="835"/>
      <c r="K19" s="835"/>
      <c r="L19" s="835"/>
    </row>
    <row r="20" spans="1:12" s="184" customFormat="1" ht="23.85" customHeight="1" x14ac:dyDescent="0.25">
      <c r="A20" s="829"/>
      <c r="B20" s="835"/>
      <c r="C20" s="835"/>
      <c r="D20" s="835"/>
      <c r="E20" s="835"/>
      <c r="F20" s="1080"/>
      <c r="G20" s="835"/>
      <c r="H20" s="835"/>
      <c r="I20" s="835"/>
      <c r="J20" s="835"/>
      <c r="K20" s="835"/>
      <c r="L20" s="835"/>
    </row>
  </sheetData>
  <mergeCells count="16">
    <mergeCell ref="A1:L1"/>
    <mergeCell ref="J2:L2"/>
    <mergeCell ref="G2:I2"/>
    <mergeCell ref="E3:E4"/>
    <mergeCell ref="D3:D4"/>
    <mergeCell ref="B3:B4"/>
    <mergeCell ref="J14:L14"/>
    <mergeCell ref="G13:I13"/>
    <mergeCell ref="C3:C4"/>
    <mergeCell ref="A16:L16"/>
    <mergeCell ref="A3:A4"/>
    <mergeCell ref="A12:L12"/>
    <mergeCell ref="A5:L5"/>
    <mergeCell ref="G3:G4"/>
    <mergeCell ref="J3:J4"/>
    <mergeCell ref="J11:L11"/>
  </mergeCells>
  <phoneticPr fontId="101" type="noConversion"/>
  <pageMargins left="0.7" right="0.7" top="0.75" bottom="0.75" header="0.3" footer="0.3"/>
  <pageSetup scale="74" fitToHeight="0" orientation="landscape" horizontalDpi="1200" verticalDpi="120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78"/>
  <sheetViews>
    <sheetView workbookViewId="0">
      <pane ySplit="5" topLeftCell="A6" activePane="bottomLeft" state="frozen"/>
      <selection pane="bottomLeft" activeCell="A2" sqref="A2"/>
    </sheetView>
  </sheetViews>
  <sheetFormatPr defaultColWidth="8.85546875" defaultRowHeight="15" x14ac:dyDescent="0.25"/>
  <cols>
    <col min="1" max="1" width="15" style="241" customWidth="1"/>
    <col min="2" max="2" width="13" style="253" customWidth="1"/>
    <col min="3" max="3" width="6.42578125" style="241" customWidth="1"/>
    <col min="4" max="4" width="13" style="241" customWidth="1"/>
    <col min="5" max="5" width="9.28515625" style="241" customWidth="1"/>
    <col min="6" max="6" width="9.42578125" style="792" customWidth="1"/>
    <col min="7" max="7" width="9.42578125" style="1119" customWidth="1"/>
    <col min="8" max="8" width="10" style="274" customWidth="1"/>
    <col min="9" max="9" width="12.140625" style="274" customWidth="1"/>
    <col min="10" max="10" width="8.28515625" style="274" customWidth="1"/>
    <col min="11" max="11" width="12.140625" style="275" bestFit="1" customWidth="1"/>
    <col min="12" max="12" width="15.28515625" style="253" customWidth="1"/>
    <col min="13" max="13" width="14.42578125" style="253" customWidth="1"/>
    <col min="14" max="14" width="9" style="253" bestFit="1" customWidth="1"/>
    <col min="15" max="15" width="8.85546875" style="264"/>
    <col min="16" max="16" width="11" style="264" customWidth="1"/>
    <col min="17" max="17" width="12.7109375" style="264" customWidth="1"/>
    <col min="18" max="18" width="9" style="264" bestFit="1" customWidth="1"/>
    <col min="19" max="19" width="9" style="253" bestFit="1" customWidth="1"/>
    <col min="20" max="20" width="21.28515625" style="253" customWidth="1"/>
    <col min="21" max="16384" width="8.85546875" style="253"/>
  </cols>
  <sheetData>
    <row r="1" spans="1:20" s="252" customFormat="1" ht="17.25" x14ac:dyDescent="0.25">
      <c r="A1" s="1342" t="s">
        <v>5914</v>
      </c>
      <c r="B1" s="1342"/>
      <c r="C1" s="1342"/>
      <c r="D1" s="1342"/>
      <c r="E1" s="1342"/>
      <c r="F1" s="1342"/>
      <c r="G1" s="1342"/>
      <c r="H1" s="1342"/>
      <c r="I1" s="1342"/>
      <c r="J1" s="1342"/>
      <c r="K1" s="1342"/>
      <c r="L1" s="1342"/>
      <c r="M1" s="1342"/>
      <c r="N1" s="1342"/>
      <c r="O1" s="1342"/>
      <c r="P1" s="1342"/>
      <c r="Q1" s="1342"/>
      <c r="R1" s="1342"/>
      <c r="S1" s="1342"/>
      <c r="T1" s="1342"/>
    </row>
    <row r="2" spans="1:20" ht="15.75" thickBot="1" x14ac:dyDescent="0.3">
      <c r="B2" s="724"/>
      <c r="C2" s="724" t="s">
        <v>1</v>
      </c>
      <c r="D2" s="724"/>
      <c r="E2" s="724"/>
    </row>
    <row r="3" spans="1:20" s="256" customFormat="1" ht="17.25" x14ac:dyDescent="0.25">
      <c r="A3" s="254"/>
      <c r="B3" s="255"/>
      <c r="C3" s="271"/>
      <c r="D3" s="271"/>
      <c r="E3" s="271"/>
      <c r="F3" s="272"/>
      <c r="G3" s="271"/>
      <c r="H3" s="278"/>
      <c r="I3" s="1320" t="s">
        <v>964</v>
      </c>
      <c r="J3" s="1320"/>
      <c r="K3" s="1320"/>
      <c r="L3" s="921"/>
      <c r="M3" s="1321" t="s">
        <v>965</v>
      </c>
      <c r="N3" s="1322"/>
      <c r="O3" s="1322"/>
      <c r="P3" s="1322"/>
      <c r="Q3" s="1322"/>
      <c r="R3" s="1322"/>
      <c r="S3" s="1323"/>
      <c r="T3" s="1346" t="s">
        <v>966</v>
      </c>
    </row>
    <row r="4" spans="1:20" s="881" customFormat="1" x14ac:dyDescent="0.25">
      <c r="A4" s="1332" t="s">
        <v>5267</v>
      </c>
      <c r="B4" s="1336" t="s">
        <v>3</v>
      </c>
      <c r="C4" s="1333" t="s">
        <v>891</v>
      </c>
      <c r="D4" s="1256" t="s">
        <v>892</v>
      </c>
      <c r="E4" s="1256" t="s">
        <v>967</v>
      </c>
      <c r="F4" s="1338" t="s">
        <v>968</v>
      </c>
      <c r="G4" s="1316" t="s">
        <v>5567</v>
      </c>
      <c r="H4" s="1316" t="s">
        <v>8</v>
      </c>
      <c r="I4" s="1340" t="s">
        <v>1062</v>
      </c>
      <c r="J4" s="1326" t="s">
        <v>10</v>
      </c>
      <c r="K4" s="1324" t="s">
        <v>11</v>
      </c>
      <c r="L4" s="1332" t="s">
        <v>5263</v>
      </c>
      <c r="M4" s="1334" t="s">
        <v>3</v>
      </c>
      <c r="N4" s="1332" t="s">
        <v>970</v>
      </c>
      <c r="O4" s="1316" t="s">
        <v>971</v>
      </c>
      <c r="P4" s="1318" t="s">
        <v>8</v>
      </c>
      <c r="Q4" s="1328" t="s">
        <v>1062</v>
      </c>
      <c r="R4" s="1326" t="s">
        <v>10</v>
      </c>
      <c r="S4" s="1324" t="s">
        <v>11</v>
      </c>
      <c r="T4" s="1347"/>
    </row>
    <row r="5" spans="1:20" s="881" customFormat="1" ht="51" customHeight="1" thickBot="1" x14ac:dyDescent="0.3">
      <c r="A5" s="1261"/>
      <c r="B5" s="1337"/>
      <c r="C5" s="1259"/>
      <c r="D5" s="1257"/>
      <c r="E5" s="1257"/>
      <c r="F5" s="1339"/>
      <c r="G5" s="1317"/>
      <c r="H5" s="1317"/>
      <c r="I5" s="1341"/>
      <c r="J5" s="1327"/>
      <c r="K5" s="1325"/>
      <c r="L5" s="1261"/>
      <c r="M5" s="1335"/>
      <c r="N5" s="1261"/>
      <c r="O5" s="1317"/>
      <c r="P5" s="1319"/>
      <c r="Q5" s="1329"/>
      <c r="R5" s="1327"/>
      <c r="S5" s="1325"/>
      <c r="T5" s="1348"/>
    </row>
    <row r="6" spans="1:20" s="258" customFormat="1" ht="15.75" thickTop="1" x14ac:dyDescent="0.25">
      <c r="A6" s="33" t="s">
        <v>13</v>
      </c>
      <c r="B6" s="820"/>
      <c r="C6" s="814"/>
      <c r="D6" s="285"/>
      <c r="E6" s="285"/>
      <c r="F6" s="882"/>
      <c r="G6" s="819"/>
      <c r="H6" s="279"/>
      <c r="I6" s="279"/>
      <c r="J6" s="279"/>
      <c r="K6" s="282"/>
      <c r="L6" s="820"/>
      <c r="M6" s="257"/>
      <c r="N6" s="817"/>
      <c r="O6" s="823"/>
      <c r="P6" s="822"/>
      <c r="Q6" s="259"/>
      <c r="R6" s="259"/>
      <c r="S6" s="260"/>
      <c r="T6" s="332"/>
    </row>
    <row r="7" spans="1:20" x14ac:dyDescent="0.25">
      <c r="A7" s="241">
        <v>1</v>
      </c>
      <c r="B7" s="253" t="s">
        <v>15</v>
      </c>
      <c r="C7" s="241">
        <v>1</v>
      </c>
      <c r="D7" s="241">
        <v>119427467</v>
      </c>
      <c r="E7" s="241" t="s">
        <v>972</v>
      </c>
      <c r="F7" s="792" t="s">
        <v>18</v>
      </c>
      <c r="G7" s="1119">
        <v>441461</v>
      </c>
      <c r="H7" s="274">
        <v>4.1890925558357703E-2</v>
      </c>
      <c r="I7" s="274">
        <v>-3.5090133019219899E-2</v>
      </c>
      <c r="J7" s="274">
        <v>6.3673602822943197E-3</v>
      </c>
      <c r="K7" s="275">
        <v>3.5692476068496701E-8</v>
      </c>
      <c r="L7" s="253" t="s">
        <v>255</v>
      </c>
      <c r="M7" s="261" t="s">
        <v>973</v>
      </c>
      <c r="N7" s="262"/>
      <c r="O7" s="263"/>
      <c r="P7" s="283"/>
      <c r="T7" s="333"/>
    </row>
    <row r="8" spans="1:20" x14ac:dyDescent="0.25">
      <c r="A8" s="241">
        <v>2</v>
      </c>
      <c r="B8" s="253" t="s">
        <v>37</v>
      </c>
      <c r="C8" s="241">
        <v>2</v>
      </c>
      <c r="D8" s="241">
        <v>165551201</v>
      </c>
      <c r="E8" s="241" t="s">
        <v>974</v>
      </c>
      <c r="F8" s="792" t="s">
        <v>38</v>
      </c>
      <c r="G8" s="1119">
        <v>389883</v>
      </c>
      <c r="H8" s="274">
        <v>0.120647726655608</v>
      </c>
      <c r="I8" s="274">
        <v>-2.6411250497695399E-2</v>
      </c>
      <c r="J8" s="274">
        <v>4.3996741581347996E-3</v>
      </c>
      <c r="K8" s="275">
        <v>1.9370284808093401E-9</v>
      </c>
      <c r="L8" s="253" t="s">
        <v>255</v>
      </c>
      <c r="M8" s="261" t="s">
        <v>973</v>
      </c>
      <c r="N8" s="262"/>
      <c r="O8" s="263"/>
      <c r="P8" s="283"/>
      <c r="T8" s="333"/>
    </row>
    <row r="9" spans="1:20" x14ac:dyDescent="0.25">
      <c r="A9" s="241">
        <v>3</v>
      </c>
      <c r="B9" s="253" t="s">
        <v>47</v>
      </c>
      <c r="C9" s="241">
        <v>3</v>
      </c>
      <c r="D9" s="241">
        <v>50597092</v>
      </c>
      <c r="E9" s="241" t="s">
        <v>975</v>
      </c>
      <c r="F9" s="792" t="s">
        <v>48</v>
      </c>
      <c r="G9" s="1119">
        <v>455424</v>
      </c>
      <c r="H9" s="274">
        <v>0.13711977799282105</v>
      </c>
      <c r="I9" s="274">
        <v>-1.99891550830343E-2</v>
      </c>
      <c r="J9" s="274">
        <v>3.7371116142549E-3</v>
      </c>
      <c r="K9" s="275">
        <v>8.8527213426125601E-8</v>
      </c>
      <c r="L9" s="253" t="s">
        <v>255</v>
      </c>
      <c r="M9" s="261" t="s">
        <v>973</v>
      </c>
      <c r="N9" s="253" t="s">
        <v>1</v>
      </c>
      <c r="O9" s="263"/>
      <c r="P9" s="283"/>
      <c r="T9" s="333"/>
    </row>
    <row r="10" spans="1:20" s="262" customFormat="1" x14ac:dyDescent="0.25">
      <c r="A10" s="1331">
        <v>4</v>
      </c>
      <c r="B10" s="262" t="s">
        <v>51</v>
      </c>
      <c r="C10" s="287">
        <v>3</v>
      </c>
      <c r="D10" s="287">
        <v>52558008</v>
      </c>
      <c r="E10" s="241" t="s">
        <v>974</v>
      </c>
      <c r="F10" s="902" t="s">
        <v>915</v>
      </c>
      <c r="G10" s="1119">
        <v>470111</v>
      </c>
      <c r="H10" s="273">
        <v>0.44790510297518005</v>
      </c>
      <c r="I10" s="273">
        <v>-1.84788153281026E-2</v>
      </c>
      <c r="J10" s="273">
        <v>2.6032641341069999E-3</v>
      </c>
      <c r="K10" s="288">
        <v>1.26277796802535E-12</v>
      </c>
      <c r="L10" s="262" t="s">
        <v>255</v>
      </c>
      <c r="M10" s="261" t="s">
        <v>973</v>
      </c>
      <c r="O10" s="263"/>
      <c r="P10" s="283"/>
      <c r="Q10" s="263"/>
      <c r="R10" s="263"/>
      <c r="T10" s="333"/>
    </row>
    <row r="11" spans="1:20" s="262" customFormat="1" x14ac:dyDescent="0.25">
      <c r="A11" s="1331"/>
      <c r="B11" s="262" t="s">
        <v>55</v>
      </c>
      <c r="C11" s="287">
        <v>3</v>
      </c>
      <c r="D11" s="287">
        <v>52833805</v>
      </c>
      <c r="E11" s="241" t="s">
        <v>976</v>
      </c>
      <c r="F11" s="902" t="s">
        <v>916</v>
      </c>
      <c r="G11" s="1119">
        <v>452150</v>
      </c>
      <c r="H11" s="273">
        <v>0.463409684496838</v>
      </c>
      <c r="I11" s="273">
        <v>-1.4565065714319101E-2</v>
      </c>
      <c r="J11" s="273">
        <v>2.64645211023107E-3</v>
      </c>
      <c r="K11" s="288">
        <v>3.7207190603100301E-8</v>
      </c>
      <c r="L11" s="262" t="s">
        <v>977</v>
      </c>
      <c r="M11" s="261" t="s">
        <v>973</v>
      </c>
      <c r="N11" s="262" t="s">
        <v>1</v>
      </c>
      <c r="O11" s="263"/>
      <c r="P11" s="283"/>
      <c r="Q11" s="263"/>
      <c r="R11" s="263"/>
      <c r="T11" s="333"/>
    </row>
    <row r="12" spans="1:20" x14ac:dyDescent="0.25">
      <c r="A12" s="241">
        <v>5</v>
      </c>
      <c r="B12" s="253" t="s">
        <v>58</v>
      </c>
      <c r="C12" s="241">
        <v>3</v>
      </c>
      <c r="D12" s="241">
        <v>129137188</v>
      </c>
      <c r="E12" s="241" t="s">
        <v>978</v>
      </c>
      <c r="F12" s="792" t="s">
        <v>917</v>
      </c>
      <c r="G12" s="1119">
        <v>476382</v>
      </c>
      <c r="H12" s="274">
        <v>6.0330218922739799E-2</v>
      </c>
      <c r="I12" s="274">
        <v>-3.2067864339842503E-2</v>
      </c>
      <c r="J12" s="274">
        <v>5.1716118002881201E-3</v>
      </c>
      <c r="K12" s="275">
        <v>5.6195237786233096E-10</v>
      </c>
      <c r="L12" s="253" t="s">
        <v>255</v>
      </c>
      <c r="M12" s="261" t="s">
        <v>973</v>
      </c>
      <c r="N12" s="262"/>
      <c r="O12" s="263"/>
      <c r="P12" s="283"/>
      <c r="T12" s="333"/>
    </row>
    <row r="13" spans="1:20" x14ac:dyDescent="0.25">
      <c r="A13" s="241">
        <v>6</v>
      </c>
      <c r="B13" s="253" t="s">
        <v>65</v>
      </c>
      <c r="C13" s="241">
        <v>4</v>
      </c>
      <c r="D13" s="241">
        <v>89625427</v>
      </c>
      <c r="E13" s="241" t="s">
        <v>979</v>
      </c>
      <c r="F13" s="792" t="s">
        <v>918</v>
      </c>
      <c r="G13" s="1119">
        <v>446080</v>
      </c>
      <c r="H13" s="274">
        <v>0.160209089983222</v>
      </c>
      <c r="I13" s="274">
        <v>-1.9074501719241198E-2</v>
      </c>
      <c r="J13" s="274">
        <v>3.5187699208358001E-3</v>
      </c>
      <c r="K13" s="275">
        <v>5.9337275790283297E-8</v>
      </c>
      <c r="L13" s="253" t="s">
        <v>255</v>
      </c>
      <c r="M13" s="261" t="s">
        <v>973</v>
      </c>
      <c r="N13" s="262"/>
      <c r="O13" s="263"/>
      <c r="P13" s="283"/>
      <c r="T13" s="333"/>
    </row>
    <row r="14" spans="1:20" x14ac:dyDescent="0.25">
      <c r="A14" s="241">
        <v>7</v>
      </c>
      <c r="B14" s="253" t="s">
        <v>76</v>
      </c>
      <c r="C14" s="241">
        <v>5</v>
      </c>
      <c r="D14" s="241">
        <v>176516631</v>
      </c>
      <c r="E14" s="241" t="s">
        <v>980</v>
      </c>
      <c r="F14" s="792" t="s">
        <v>77</v>
      </c>
      <c r="G14" s="1119">
        <v>455246</v>
      </c>
      <c r="H14" s="274">
        <v>0.231005140398332</v>
      </c>
      <c r="I14" s="274">
        <v>2.1429729203235499E-2</v>
      </c>
      <c r="J14" s="274">
        <v>3.0346452578984E-3</v>
      </c>
      <c r="K14" s="275">
        <v>1.64487628490793E-12</v>
      </c>
      <c r="L14" s="253" t="s">
        <v>255</v>
      </c>
      <c r="M14" s="261" t="s">
        <v>973</v>
      </c>
      <c r="N14" s="262"/>
      <c r="O14" s="263"/>
      <c r="P14" s="283"/>
      <c r="T14" s="333"/>
    </row>
    <row r="15" spans="1:20" x14ac:dyDescent="0.25">
      <c r="A15" s="241">
        <v>8</v>
      </c>
      <c r="B15" s="253" t="s">
        <v>86</v>
      </c>
      <c r="C15" s="241">
        <v>6</v>
      </c>
      <c r="D15" s="241">
        <v>26108117</v>
      </c>
      <c r="E15" s="241" t="s">
        <v>974</v>
      </c>
      <c r="F15" s="792" t="s">
        <v>87</v>
      </c>
      <c r="G15" s="1119">
        <v>217995</v>
      </c>
      <c r="H15" s="274">
        <v>1.3729630086240501E-3</v>
      </c>
      <c r="I15" s="274">
        <v>0.229047459560663</v>
      </c>
      <c r="J15" s="274">
        <v>4.1812377511145901E-2</v>
      </c>
      <c r="K15" s="275">
        <v>4.30203407686554E-8</v>
      </c>
      <c r="L15" s="253" t="s">
        <v>255</v>
      </c>
      <c r="M15" s="261" t="s">
        <v>973</v>
      </c>
      <c r="N15" s="262"/>
      <c r="O15" s="263"/>
      <c r="P15" s="283"/>
      <c r="T15" s="333"/>
    </row>
    <row r="16" spans="1:20" x14ac:dyDescent="0.25">
      <c r="A16" s="1330">
        <v>9</v>
      </c>
      <c r="B16" s="253" t="s">
        <v>95</v>
      </c>
      <c r="C16" s="241">
        <v>6</v>
      </c>
      <c r="D16" s="241">
        <v>127476516</v>
      </c>
      <c r="E16" s="241" t="s">
        <v>980</v>
      </c>
      <c r="F16" s="900" t="s">
        <v>923</v>
      </c>
      <c r="G16" s="1119">
        <v>476358</v>
      </c>
      <c r="H16" s="274">
        <v>0.46053943895356397</v>
      </c>
      <c r="I16" s="274">
        <v>2.6103845742871098E-2</v>
      </c>
      <c r="J16" s="274">
        <v>2.4907193780322298E-3</v>
      </c>
      <c r="K16" s="275">
        <v>1.062434191949E-25</v>
      </c>
      <c r="L16" s="253" t="s">
        <v>255</v>
      </c>
      <c r="M16" s="261" t="s">
        <v>99</v>
      </c>
      <c r="N16" s="262">
        <v>291438</v>
      </c>
      <c r="O16" s="263">
        <v>0</v>
      </c>
      <c r="P16" s="283">
        <v>8.9333899999999994E-3</v>
      </c>
      <c r="Q16" s="264">
        <v>9.6991800000000003E-2</v>
      </c>
      <c r="R16" s="264">
        <v>1.46591E-2</v>
      </c>
      <c r="S16" s="286">
        <v>3.6779700000000003E-11</v>
      </c>
      <c r="T16" s="333" t="s">
        <v>973</v>
      </c>
    </row>
    <row r="17" spans="1:20" ht="30" x14ac:dyDescent="0.25">
      <c r="A17" s="1330"/>
      <c r="B17" s="253" t="s">
        <v>99</v>
      </c>
      <c r="C17" s="241">
        <v>6</v>
      </c>
      <c r="D17" s="241">
        <v>127767954</v>
      </c>
      <c r="E17" s="241" t="s">
        <v>980</v>
      </c>
      <c r="F17" s="900" t="s">
        <v>924</v>
      </c>
      <c r="G17" s="1119">
        <v>391469</v>
      </c>
      <c r="H17" s="274">
        <v>8.9333917454586399E-3</v>
      </c>
      <c r="I17" s="274">
        <v>0.107359687292119</v>
      </c>
      <c r="J17" s="274">
        <v>1.4618181883249299E-2</v>
      </c>
      <c r="K17" s="275">
        <v>2.06904942972649E-13</v>
      </c>
      <c r="L17" s="253" t="s">
        <v>981</v>
      </c>
      <c r="M17" s="261" t="s">
        <v>95</v>
      </c>
      <c r="N17" s="262">
        <v>291438</v>
      </c>
      <c r="O17" s="263">
        <v>0</v>
      </c>
      <c r="P17" s="283">
        <v>0.53946099999999997</v>
      </c>
      <c r="Q17" s="264">
        <v>2.4336699999999999E-2</v>
      </c>
      <c r="R17" s="264">
        <v>2.45948E-3</v>
      </c>
      <c r="S17" s="286">
        <v>4.3729699999999998E-23</v>
      </c>
      <c r="T17" s="333" t="s">
        <v>973</v>
      </c>
    </row>
    <row r="18" spans="1:20" x14ac:dyDescent="0.25">
      <c r="A18" s="241">
        <v>10</v>
      </c>
      <c r="B18" s="253" t="s">
        <v>81</v>
      </c>
      <c r="C18" s="241">
        <v>6</v>
      </c>
      <c r="D18" s="241">
        <v>7211818</v>
      </c>
      <c r="E18" s="241" t="s">
        <v>975</v>
      </c>
      <c r="F18" s="792" t="s">
        <v>82</v>
      </c>
      <c r="G18" s="1119">
        <v>451044</v>
      </c>
      <c r="H18" s="274">
        <v>0.43806154277789999</v>
      </c>
      <c r="I18" s="274">
        <v>-1.3854814556914501E-2</v>
      </c>
      <c r="J18" s="274">
        <v>2.5838796129147002E-3</v>
      </c>
      <c r="K18" s="275">
        <v>8.2296355908608896E-8</v>
      </c>
      <c r="L18" s="253" t="s">
        <v>255</v>
      </c>
      <c r="M18" s="261" t="s">
        <v>973</v>
      </c>
      <c r="N18" s="262"/>
      <c r="O18" s="263"/>
      <c r="P18" s="283"/>
      <c r="T18" s="333"/>
    </row>
    <row r="19" spans="1:20" x14ac:dyDescent="0.25">
      <c r="A19" s="1330">
        <v>11</v>
      </c>
      <c r="B19" s="253" t="s">
        <v>106</v>
      </c>
      <c r="C19" s="241">
        <v>7</v>
      </c>
      <c r="D19" s="241">
        <v>73012042</v>
      </c>
      <c r="E19" s="241" t="s">
        <v>975</v>
      </c>
      <c r="F19" s="1345" t="s">
        <v>107</v>
      </c>
      <c r="G19" s="1119">
        <v>451158</v>
      </c>
      <c r="H19" s="274">
        <v>0.116472360524617</v>
      </c>
      <c r="I19" s="274">
        <v>-2.2444856250155999E-2</v>
      </c>
      <c r="J19" s="274">
        <v>4.0591022682460896E-3</v>
      </c>
      <c r="K19" s="275">
        <v>3.21122136816336E-8</v>
      </c>
      <c r="L19" s="253" t="s">
        <v>982</v>
      </c>
      <c r="M19" s="261" t="s">
        <v>973</v>
      </c>
      <c r="N19" s="253" t="s">
        <v>1</v>
      </c>
      <c r="O19" s="263"/>
      <c r="P19" s="283"/>
      <c r="T19" s="333"/>
    </row>
    <row r="20" spans="1:20" x14ac:dyDescent="0.25">
      <c r="A20" s="1330"/>
      <c r="B20" s="253" t="s">
        <v>111</v>
      </c>
      <c r="C20" s="241">
        <v>7</v>
      </c>
      <c r="D20" s="241">
        <v>73020337</v>
      </c>
      <c r="E20" s="241" t="s">
        <v>983</v>
      </c>
      <c r="F20" s="1345"/>
      <c r="G20" s="1119">
        <v>454738</v>
      </c>
      <c r="H20" s="274">
        <v>0.114121118090821</v>
      </c>
      <c r="I20" s="274">
        <v>-2.4093759810039399E-2</v>
      </c>
      <c r="J20" s="274">
        <v>4.1162975077458303E-3</v>
      </c>
      <c r="K20" s="275">
        <v>4.8202948026167404E-9</v>
      </c>
      <c r="L20" s="253" t="s">
        <v>255</v>
      </c>
      <c r="M20" s="261" t="s">
        <v>973</v>
      </c>
      <c r="N20" s="262"/>
      <c r="O20" s="263"/>
      <c r="P20" s="283"/>
      <c r="T20" s="333"/>
    </row>
    <row r="21" spans="1:20" x14ac:dyDescent="0.25">
      <c r="A21" s="241">
        <v>12</v>
      </c>
      <c r="B21" s="253" t="s">
        <v>114</v>
      </c>
      <c r="C21" s="241">
        <v>10</v>
      </c>
      <c r="D21" s="241">
        <v>95931087</v>
      </c>
      <c r="E21" s="241" t="s">
        <v>984</v>
      </c>
      <c r="F21" s="792" t="s">
        <v>115</v>
      </c>
      <c r="G21" s="1119">
        <v>476475</v>
      </c>
      <c r="H21" s="274">
        <v>0.17458618220571501</v>
      </c>
      <c r="I21" s="274">
        <v>1.8534121819712802E-2</v>
      </c>
      <c r="J21" s="274">
        <v>3.2405072859899601E-3</v>
      </c>
      <c r="K21" s="275">
        <v>1.06830136743707E-8</v>
      </c>
      <c r="L21" s="253" t="s">
        <v>255</v>
      </c>
      <c r="M21" s="261" t="s">
        <v>973</v>
      </c>
      <c r="N21" s="262"/>
      <c r="O21" s="263"/>
      <c r="P21" s="283"/>
      <c r="T21" s="333"/>
    </row>
    <row r="22" spans="1:20" x14ac:dyDescent="0.25">
      <c r="A22" s="241">
        <v>13</v>
      </c>
      <c r="B22" s="253" t="s">
        <v>119</v>
      </c>
      <c r="C22" s="241">
        <v>10</v>
      </c>
      <c r="D22" s="241">
        <v>123279643</v>
      </c>
      <c r="E22" s="241" t="s">
        <v>974</v>
      </c>
      <c r="F22" s="792" t="s">
        <v>120</v>
      </c>
      <c r="G22" s="1119">
        <v>236962</v>
      </c>
      <c r="H22" s="274">
        <v>9.1633713565381796E-4</v>
      </c>
      <c r="I22" s="274">
        <v>0.258329593986039</v>
      </c>
      <c r="J22" s="274">
        <v>4.9039453590971303E-2</v>
      </c>
      <c r="K22" s="275">
        <v>1.3807515113254201E-7</v>
      </c>
      <c r="L22" s="253" t="s">
        <v>255</v>
      </c>
      <c r="M22" s="261" t="s">
        <v>973</v>
      </c>
      <c r="N22" s="262"/>
      <c r="O22" s="263"/>
      <c r="P22" s="283"/>
      <c r="T22" s="333"/>
    </row>
    <row r="23" spans="1:20" x14ac:dyDescent="0.25">
      <c r="A23" s="241">
        <v>14</v>
      </c>
      <c r="B23" s="253" t="s">
        <v>122</v>
      </c>
      <c r="C23" s="241">
        <v>11</v>
      </c>
      <c r="D23" s="241">
        <v>64031241</v>
      </c>
      <c r="E23" s="241" t="s">
        <v>974</v>
      </c>
      <c r="F23" s="792" t="s">
        <v>123</v>
      </c>
      <c r="G23" s="1119">
        <v>476457</v>
      </c>
      <c r="H23" s="274">
        <v>6.0220021505571097E-2</v>
      </c>
      <c r="I23" s="274">
        <v>2.7923254208787301E-2</v>
      </c>
      <c r="J23" s="274">
        <v>5.1787711574770197E-3</v>
      </c>
      <c r="K23" s="275">
        <v>6.9728704445728206E-8</v>
      </c>
      <c r="L23" s="253" t="s">
        <v>255</v>
      </c>
      <c r="M23" s="261" t="s">
        <v>973</v>
      </c>
      <c r="N23" s="262"/>
      <c r="O23" s="263"/>
      <c r="P23" s="283"/>
      <c r="T23" s="333"/>
    </row>
    <row r="24" spans="1:20" x14ac:dyDescent="0.25">
      <c r="A24" s="241">
        <v>15</v>
      </c>
      <c r="B24" s="253" t="s">
        <v>131</v>
      </c>
      <c r="C24" s="241">
        <v>12</v>
      </c>
      <c r="D24" s="241">
        <v>48143315</v>
      </c>
      <c r="E24" s="241" t="s">
        <v>980</v>
      </c>
      <c r="F24" s="792" t="s">
        <v>132</v>
      </c>
      <c r="G24" s="1119">
        <v>470513</v>
      </c>
      <c r="H24" s="274">
        <v>1.0097244503552301E-2</v>
      </c>
      <c r="I24" s="274">
        <v>-8.9819935479442198E-2</v>
      </c>
      <c r="J24" s="274">
        <v>1.21235113326921E-2</v>
      </c>
      <c r="K24" s="275">
        <v>1.2750562378814201E-13</v>
      </c>
      <c r="L24" s="253" t="s">
        <v>255</v>
      </c>
      <c r="M24" s="261" t="s">
        <v>973</v>
      </c>
      <c r="N24" s="262"/>
      <c r="O24" s="263"/>
      <c r="P24" s="283"/>
      <c r="T24" s="333"/>
    </row>
    <row r="25" spans="1:20" x14ac:dyDescent="0.25">
      <c r="A25" s="1330" t="s">
        <v>5266</v>
      </c>
      <c r="B25" s="253" t="s">
        <v>143</v>
      </c>
      <c r="C25" s="241">
        <v>12</v>
      </c>
      <c r="D25" s="241">
        <v>124265687</v>
      </c>
      <c r="E25" s="241" t="s">
        <v>974</v>
      </c>
      <c r="F25" s="1345" t="s">
        <v>940</v>
      </c>
      <c r="G25" s="1119">
        <v>476360</v>
      </c>
      <c r="H25" s="274">
        <v>0.36369684971934202</v>
      </c>
      <c r="I25" s="274">
        <v>-1.9170843776442299E-2</v>
      </c>
      <c r="J25" s="274">
        <v>2.5654299949747199E-3</v>
      </c>
      <c r="K25" s="275">
        <v>7.8529736487360203E-14</v>
      </c>
      <c r="L25" s="253" t="s">
        <v>985</v>
      </c>
      <c r="M25" s="261" t="s">
        <v>149</v>
      </c>
      <c r="N25" s="262">
        <v>161619</v>
      </c>
      <c r="O25" s="263">
        <v>5.0000000000000001E-3</v>
      </c>
      <c r="P25" s="283">
        <v>0.30281999999999998</v>
      </c>
      <c r="Q25" s="264">
        <v>-2.2981399999999999E-2</v>
      </c>
      <c r="R25" s="264">
        <v>2.8135999999999999E-3</v>
      </c>
      <c r="S25" s="286">
        <v>3.1362999999999998E-16</v>
      </c>
      <c r="T25" s="333" t="s">
        <v>973</v>
      </c>
    </row>
    <row r="26" spans="1:20" x14ac:dyDescent="0.25">
      <c r="A26" s="1330"/>
      <c r="B26" s="253" t="s">
        <v>146</v>
      </c>
      <c r="C26" s="241">
        <v>12</v>
      </c>
      <c r="D26" s="241">
        <v>124330311</v>
      </c>
      <c r="E26" s="241" t="s">
        <v>978</v>
      </c>
      <c r="F26" s="1345"/>
      <c r="G26" s="1119">
        <v>476395</v>
      </c>
      <c r="H26" s="274">
        <v>0.105698935052121</v>
      </c>
      <c r="I26" s="274">
        <v>-2.33222349006495E-2</v>
      </c>
      <c r="J26" s="274">
        <v>4.0179725064301399E-3</v>
      </c>
      <c r="K26" s="275">
        <v>6.4566656661446602E-9</v>
      </c>
      <c r="L26" s="253" t="s">
        <v>985</v>
      </c>
      <c r="M26" s="261" t="s">
        <v>149</v>
      </c>
      <c r="N26" s="262">
        <v>96995</v>
      </c>
      <c r="O26" s="263">
        <v>8.5000000000000006E-2</v>
      </c>
      <c r="P26" s="283">
        <v>0.30281999999999998</v>
      </c>
      <c r="Q26" s="264">
        <v>-2.45522E-2</v>
      </c>
      <c r="R26" s="264">
        <v>2.9236000000000002E-3</v>
      </c>
      <c r="S26" s="286">
        <v>4.5438499999999997E-17</v>
      </c>
      <c r="T26" s="333" t="s">
        <v>973</v>
      </c>
    </row>
    <row r="27" spans="1:20" x14ac:dyDescent="0.25">
      <c r="A27" s="1330"/>
      <c r="B27" s="253" t="s">
        <v>149</v>
      </c>
      <c r="C27" s="241">
        <v>12</v>
      </c>
      <c r="D27" s="241">
        <v>124427306</v>
      </c>
      <c r="E27" s="241" t="s">
        <v>986</v>
      </c>
      <c r="F27" s="900" t="s">
        <v>941</v>
      </c>
      <c r="G27" s="1119">
        <v>467649</v>
      </c>
      <c r="H27" s="274">
        <v>0.30282036043205102</v>
      </c>
      <c r="I27" s="274">
        <v>-2.7249898768003999E-2</v>
      </c>
      <c r="J27" s="274">
        <v>2.7274890386359599E-3</v>
      </c>
      <c r="K27" s="275">
        <v>1.6716398125288399E-23</v>
      </c>
      <c r="L27" s="253" t="s">
        <v>255</v>
      </c>
      <c r="M27" s="261" t="s">
        <v>973</v>
      </c>
      <c r="N27" s="262"/>
      <c r="O27" s="263"/>
      <c r="P27" s="283"/>
      <c r="T27" s="333"/>
    </row>
    <row r="28" spans="1:20" x14ac:dyDescent="0.25">
      <c r="A28" s="241">
        <v>17</v>
      </c>
      <c r="B28" s="253" t="s">
        <v>152</v>
      </c>
      <c r="C28" s="241">
        <v>15</v>
      </c>
      <c r="D28" s="241">
        <v>42032383</v>
      </c>
      <c r="E28" s="241" t="s">
        <v>979</v>
      </c>
      <c r="F28" s="792" t="s">
        <v>153</v>
      </c>
      <c r="G28" s="1119">
        <v>469874</v>
      </c>
      <c r="H28" s="274">
        <v>0.34504241856271101</v>
      </c>
      <c r="I28" s="274">
        <v>1.6318307969603499E-2</v>
      </c>
      <c r="J28" s="274">
        <v>2.6562741634164502E-3</v>
      </c>
      <c r="K28" s="275">
        <v>8.0820800528325296E-10</v>
      </c>
      <c r="L28" s="253" t="s">
        <v>255</v>
      </c>
      <c r="M28" s="261" t="s">
        <v>973</v>
      </c>
      <c r="N28" s="262"/>
      <c r="O28" s="263"/>
      <c r="P28" s="283"/>
      <c r="T28" s="333"/>
    </row>
    <row r="29" spans="1:20" x14ac:dyDescent="0.25">
      <c r="A29" s="1330">
        <v>18</v>
      </c>
      <c r="B29" s="253" t="s">
        <v>161</v>
      </c>
      <c r="C29" s="241">
        <v>16</v>
      </c>
      <c r="D29" s="241">
        <v>4432029</v>
      </c>
      <c r="E29" s="241" t="s">
        <v>972</v>
      </c>
      <c r="F29" s="900" t="s">
        <v>948</v>
      </c>
      <c r="G29" s="1119">
        <v>424163</v>
      </c>
      <c r="H29" s="274">
        <v>0.23374579072344004</v>
      </c>
      <c r="I29" s="274">
        <v>-1.81083358575778E-2</v>
      </c>
      <c r="J29" s="274">
        <v>3.16687664881733E-3</v>
      </c>
      <c r="K29" s="275">
        <v>1.07758076965142E-8</v>
      </c>
      <c r="L29" s="253" t="s">
        <v>987</v>
      </c>
      <c r="M29" s="261" t="s">
        <v>973</v>
      </c>
      <c r="N29" s="262"/>
      <c r="O29" s="263"/>
      <c r="P29" s="283"/>
      <c r="T29" s="333"/>
    </row>
    <row r="30" spans="1:20" x14ac:dyDescent="0.25">
      <c r="A30" s="1330"/>
      <c r="B30" s="253" t="s">
        <v>164</v>
      </c>
      <c r="C30" s="241">
        <v>16</v>
      </c>
      <c r="D30" s="241">
        <v>4445327</v>
      </c>
      <c r="E30" s="241" t="s">
        <v>978</v>
      </c>
      <c r="F30" s="900" t="s">
        <v>949</v>
      </c>
      <c r="G30" s="1119">
        <v>453078</v>
      </c>
      <c r="H30" s="274">
        <v>0.30788951606312498</v>
      </c>
      <c r="I30" s="274">
        <v>-1.6582640390514901E-2</v>
      </c>
      <c r="J30" s="274">
        <v>2.8617530983863302E-3</v>
      </c>
      <c r="K30" s="275">
        <v>6.8494776219862099E-9</v>
      </c>
      <c r="L30" s="253" t="s">
        <v>255</v>
      </c>
      <c r="M30" s="261" t="s">
        <v>973</v>
      </c>
      <c r="N30" s="262"/>
      <c r="O30" s="263"/>
      <c r="P30" s="283"/>
      <c r="T30" s="333"/>
    </row>
    <row r="31" spans="1:20" x14ac:dyDescent="0.25">
      <c r="A31" s="1330">
        <v>19</v>
      </c>
      <c r="B31" s="253" t="s">
        <v>170</v>
      </c>
      <c r="C31" s="241">
        <v>16</v>
      </c>
      <c r="D31" s="241">
        <v>67397580</v>
      </c>
      <c r="E31" s="241" t="s">
        <v>979</v>
      </c>
      <c r="F31" s="1345" t="s">
        <v>171</v>
      </c>
      <c r="G31" s="1119">
        <v>469474</v>
      </c>
      <c r="H31" s="274">
        <v>6.7506613348573802E-2</v>
      </c>
      <c r="I31" s="274">
        <v>-2.9930661955539901E-2</v>
      </c>
      <c r="J31" s="274">
        <v>5.3884679914611901E-3</v>
      </c>
      <c r="K31" s="275">
        <v>2.7828435539204401E-8</v>
      </c>
      <c r="L31" s="253" t="s">
        <v>988</v>
      </c>
      <c r="M31" s="261" t="s">
        <v>973</v>
      </c>
      <c r="N31" s="253" t="s">
        <v>1</v>
      </c>
      <c r="O31" s="263"/>
      <c r="P31" s="283"/>
      <c r="T31" s="333"/>
    </row>
    <row r="32" spans="1:20" x14ac:dyDescent="0.25">
      <c r="A32" s="1330"/>
      <c r="B32" s="253" t="s">
        <v>175</v>
      </c>
      <c r="C32" s="241">
        <v>16</v>
      </c>
      <c r="D32" s="241">
        <v>67409180</v>
      </c>
      <c r="E32" s="241" t="s">
        <v>975</v>
      </c>
      <c r="F32" s="1345"/>
      <c r="G32" s="1119">
        <v>474035</v>
      </c>
      <c r="H32" s="274">
        <v>6.6991670984014498E-2</v>
      </c>
      <c r="I32" s="274">
        <v>-2.9991942469892001E-2</v>
      </c>
      <c r="J32" s="274">
        <v>5.3685514805299397E-3</v>
      </c>
      <c r="K32" s="275">
        <v>2.3156002999504099E-8</v>
      </c>
      <c r="L32" s="253" t="s">
        <v>255</v>
      </c>
      <c r="M32" s="261" t="s">
        <v>973</v>
      </c>
      <c r="N32" s="262"/>
      <c r="O32" s="263"/>
      <c r="P32" s="283"/>
      <c r="T32" s="333"/>
    </row>
    <row r="33" spans="1:20" x14ac:dyDescent="0.25">
      <c r="A33" s="241">
        <v>20</v>
      </c>
      <c r="B33" s="253" t="s">
        <v>182</v>
      </c>
      <c r="C33" s="241">
        <v>19</v>
      </c>
      <c r="D33" s="241">
        <v>18304700</v>
      </c>
      <c r="E33" s="241" t="s">
        <v>975</v>
      </c>
      <c r="F33" s="792" t="s">
        <v>958</v>
      </c>
      <c r="G33" s="1119">
        <v>476388</v>
      </c>
      <c r="H33" s="274">
        <v>0.26581273683345502</v>
      </c>
      <c r="I33" s="274">
        <v>1.5638920933732502E-2</v>
      </c>
      <c r="J33" s="274">
        <v>2.8394948854360302E-3</v>
      </c>
      <c r="K33" s="275">
        <v>3.6367229193397998E-8</v>
      </c>
      <c r="L33" s="253" t="s">
        <v>255</v>
      </c>
      <c r="M33" s="261" t="s">
        <v>973</v>
      </c>
      <c r="N33" s="253" t="s">
        <v>1</v>
      </c>
      <c r="O33" s="263"/>
      <c r="P33" s="283"/>
      <c r="T33" s="333"/>
    </row>
    <row r="34" spans="1:20" x14ac:dyDescent="0.25">
      <c r="A34" s="241">
        <v>21</v>
      </c>
      <c r="B34" s="253" t="s">
        <v>185</v>
      </c>
      <c r="C34" s="241">
        <v>19</v>
      </c>
      <c r="D34" s="241">
        <v>49232226</v>
      </c>
      <c r="E34" s="241" t="s">
        <v>980</v>
      </c>
      <c r="F34" s="792" t="s">
        <v>186</v>
      </c>
      <c r="G34" s="1119">
        <v>430272</v>
      </c>
      <c r="H34" s="274">
        <v>0.47010252445953499</v>
      </c>
      <c r="I34" s="274">
        <v>1.5636713946753401E-2</v>
      </c>
      <c r="J34" s="274">
        <v>2.7742630220930001E-3</v>
      </c>
      <c r="K34" s="275">
        <v>1.73693438722419E-8</v>
      </c>
      <c r="L34" s="253" t="s">
        <v>255</v>
      </c>
      <c r="M34" s="261" t="s">
        <v>973</v>
      </c>
      <c r="N34" s="262"/>
      <c r="O34" s="263"/>
      <c r="P34" s="283"/>
      <c r="T34" s="333"/>
    </row>
    <row r="35" spans="1:20" x14ac:dyDescent="0.25">
      <c r="A35" s="1330">
        <v>22</v>
      </c>
      <c r="B35" s="253" t="s">
        <v>193</v>
      </c>
      <c r="C35" s="241">
        <v>20</v>
      </c>
      <c r="D35" s="241">
        <v>33971914</v>
      </c>
      <c r="E35" s="241" t="s">
        <v>974</v>
      </c>
      <c r="F35" s="900" t="s">
        <v>265</v>
      </c>
      <c r="G35" s="1119">
        <v>451064</v>
      </c>
      <c r="H35" s="274">
        <v>0.41369876405716299</v>
      </c>
      <c r="I35" s="274">
        <v>1.9788292508702201E-2</v>
      </c>
      <c r="J35" s="274">
        <v>2.7039286237485801E-3</v>
      </c>
      <c r="K35" s="275">
        <v>2.51040860264379E-13</v>
      </c>
      <c r="L35" s="253" t="s">
        <v>255</v>
      </c>
      <c r="M35" s="261" t="s">
        <v>973</v>
      </c>
      <c r="N35" s="262"/>
      <c r="O35" s="263"/>
      <c r="P35" s="283"/>
      <c r="T35" s="333"/>
    </row>
    <row r="36" spans="1:20" x14ac:dyDescent="0.25">
      <c r="A36" s="1330"/>
      <c r="B36" s="253" t="s">
        <v>197</v>
      </c>
      <c r="C36" s="241">
        <v>20</v>
      </c>
      <c r="D36" s="241">
        <v>34022387</v>
      </c>
      <c r="E36" s="241" t="s">
        <v>972</v>
      </c>
      <c r="F36" s="900" t="s">
        <v>959</v>
      </c>
      <c r="G36" s="1119">
        <v>345805</v>
      </c>
      <c r="H36" s="274">
        <v>0.36767379668863598</v>
      </c>
      <c r="I36" s="274">
        <v>-1.9154963269203702E-2</v>
      </c>
      <c r="J36" s="274">
        <v>3.3229635499118599E-3</v>
      </c>
      <c r="K36" s="275">
        <v>8.19382962786734E-9</v>
      </c>
      <c r="L36" s="253" t="s">
        <v>989</v>
      </c>
      <c r="M36" s="261" t="s">
        <v>973</v>
      </c>
      <c r="N36" s="262"/>
      <c r="O36" s="263"/>
      <c r="P36" s="283"/>
      <c r="T36" s="333"/>
    </row>
    <row r="37" spans="1:20" x14ac:dyDescent="0.25">
      <c r="A37" s="33" t="s">
        <v>254</v>
      </c>
      <c r="M37" s="261"/>
      <c r="N37" s="262"/>
      <c r="O37" s="263"/>
      <c r="P37" s="283"/>
      <c r="T37" s="333"/>
    </row>
    <row r="38" spans="1:20" x14ac:dyDescent="0.25">
      <c r="A38" s="241">
        <v>1</v>
      </c>
      <c r="B38" s="253" t="s">
        <v>27</v>
      </c>
      <c r="C38" s="241">
        <v>1</v>
      </c>
      <c r="D38" s="241">
        <v>154987704</v>
      </c>
      <c r="E38" s="241" t="s">
        <v>978</v>
      </c>
      <c r="F38" s="792" t="s">
        <v>28</v>
      </c>
      <c r="G38" s="1119">
        <v>250084</v>
      </c>
      <c r="H38" s="273">
        <v>2.2792528258600699E-2</v>
      </c>
      <c r="I38" s="274">
        <v>-6.3924808076065598E-2</v>
      </c>
      <c r="J38" s="274">
        <v>1.12287692979225E-2</v>
      </c>
      <c r="K38" s="275">
        <v>1.24863879815734E-8</v>
      </c>
      <c r="L38" s="253" t="s">
        <v>255</v>
      </c>
      <c r="M38" s="261" t="s">
        <v>973</v>
      </c>
      <c r="N38" s="262"/>
      <c r="O38" s="263"/>
      <c r="P38" s="283"/>
      <c r="T38" s="333"/>
    </row>
    <row r="39" spans="1:20" x14ac:dyDescent="0.25">
      <c r="A39" s="241">
        <v>2</v>
      </c>
      <c r="B39" s="253" t="s">
        <v>32</v>
      </c>
      <c r="C39" s="241">
        <v>2</v>
      </c>
      <c r="D39" s="241">
        <v>158412701</v>
      </c>
      <c r="E39" s="241" t="s">
        <v>984</v>
      </c>
      <c r="F39" s="792" t="s">
        <v>33</v>
      </c>
      <c r="G39" s="1119">
        <v>245808</v>
      </c>
      <c r="H39" s="273">
        <v>9.6708469479783905E-3</v>
      </c>
      <c r="I39" s="274">
        <v>-9.4433782117560094E-2</v>
      </c>
      <c r="J39" s="274">
        <v>1.7781617812458701E-2</v>
      </c>
      <c r="K39" s="275">
        <v>1.09173144181388E-7</v>
      </c>
      <c r="L39" s="253" t="s">
        <v>255</v>
      </c>
      <c r="M39" s="261" t="s">
        <v>973</v>
      </c>
      <c r="N39" s="262"/>
      <c r="O39" s="263"/>
      <c r="P39" s="283"/>
      <c r="T39" s="333"/>
    </row>
    <row r="40" spans="1:20" x14ac:dyDescent="0.25">
      <c r="A40" s="241">
        <v>3</v>
      </c>
      <c r="B40" s="253" t="s">
        <v>37</v>
      </c>
      <c r="C40" s="241">
        <v>2</v>
      </c>
      <c r="D40" s="241">
        <v>165551201</v>
      </c>
      <c r="E40" s="241" t="s">
        <v>974</v>
      </c>
      <c r="F40" s="792" t="s">
        <v>38</v>
      </c>
      <c r="G40" s="1119">
        <v>216636</v>
      </c>
      <c r="H40" s="274">
        <v>0.122303629899948</v>
      </c>
      <c r="I40" s="274">
        <v>-5.9961572067746403E-2</v>
      </c>
      <c r="J40" s="274">
        <v>5.8796895387916099E-3</v>
      </c>
      <c r="K40" s="275">
        <v>2.0222090346022799E-24</v>
      </c>
      <c r="L40" s="253" t="s">
        <v>255</v>
      </c>
      <c r="M40" s="261" t="s">
        <v>973</v>
      </c>
      <c r="N40" s="262"/>
      <c r="O40" s="263"/>
      <c r="P40" s="283"/>
      <c r="T40" s="333"/>
    </row>
    <row r="41" spans="1:20" x14ac:dyDescent="0.25">
      <c r="A41" s="241">
        <v>4</v>
      </c>
      <c r="B41" s="253" t="s">
        <v>51</v>
      </c>
      <c r="C41" s="241">
        <v>3</v>
      </c>
      <c r="D41" s="241">
        <v>52558008</v>
      </c>
      <c r="E41" s="241" t="s">
        <v>974</v>
      </c>
      <c r="F41" s="792" t="s">
        <v>915</v>
      </c>
      <c r="G41" s="1119">
        <v>246543</v>
      </c>
      <c r="H41" s="273">
        <v>0.56500678715056996</v>
      </c>
      <c r="I41" s="274">
        <v>-2.0047288042945401E-2</v>
      </c>
      <c r="J41" s="274">
        <v>3.6491882059710898E-3</v>
      </c>
      <c r="K41" s="275">
        <v>3.9375608842489498E-8</v>
      </c>
      <c r="L41" s="253" t="s">
        <v>255</v>
      </c>
      <c r="M41" s="261" t="s">
        <v>973</v>
      </c>
      <c r="N41" s="262"/>
      <c r="O41" s="263"/>
      <c r="P41" s="283"/>
      <c r="Q41" s="263"/>
      <c r="R41" s="263"/>
      <c r="T41" s="333"/>
    </row>
    <row r="42" spans="1:20" x14ac:dyDescent="0.25">
      <c r="A42" s="1330">
        <v>5</v>
      </c>
      <c r="B42" s="253" t="s">
        <v>58</v>
      </c>
      <c r="C42" s="241">
        <v>3</v>
      </c>
      <c r="D42" s="241">
        <v>129137188</v>
      </c>
      <c r="E42" s="241" t="s">
        <v>978</v>
      </c>
      <c r="F42" s="900" t="s">
        <v>917</v>
      </c>
      <c r="G42" s="1119">
        <v>250045</v>
      </c>
      <c r="H42" s="273">
        <v>6.1129864236044898E-2</v>
      </c>
      <c r="I42" s="274">
        <v>-4.9548998150862403E-2</v>
      </c>
      <c r="J42" s="274">
        <v>7.1545122118410803E-3</v>
      </c>
      <c r="K42" s="275">
        <v>4.34256563194467E-12</v>
      </c>
      <c r="L42" s="253" t="s">
        <v>255</v>
      </c>
      <c r="M42" s="261" t="s">
        <v>973</v>
      </c>
      <c r="N42" s="262"/>
      <c r="O42" s="263"/>
      <c r="P42" s="283"/>
      <c r="Q42" s="263"/>
      <c r="R42" s="263"/>
      <c r="T42" s="333"/>
    </row>
    <row r="43" spans="1:20" ht="17.25" x14ac:dyDescent="0.25">
      <c r="A43" s="1330"/>
      <c r="B43" s="253" t="s">
        <v>62</v>
      </c>
      <c r="C43" s="241">
        <v>3</v>
      </c>
      <c r="D43" s="241">
        <v>129284818</v>
      </c>
      <c r="E43" s="241" t="s">
        <v>972</v>
      </c>
      <c r="F43" s="900" t="s">
        <v>216</v>
      </c>
      <c r="G43" s="1119">
        <v>250023</v>
      </c>
      <c r="H43" s="273">
        <v>0.261522460582579</v>
      </c>
      <c r="I43" s="274">
        <v>-2.0942522883991399E-2</v>
      </c>
      <c r="J43" s="274">
        <v>3.98839205476353E-3</v>
      </c>
      <c r="K43" s="275">
        <v>1.5138358769518899E-7</v>
      </c>
      <c r="L43" s="253" t="s">
        <v>990</v>
      </c>
      <c r="M43" s="261" t="s">
        <v>5264</v>
      </c>
      <c r="N43" s="262">
        <v>154800</v>
      </c>
      <c r="O43" s="263">
        <v>2E-3</v>
      </c>
      <c r="P43" s="283">
        <v>8.1925499999999998E-2</v>
      </c>
      <c r="Q43" s="263">
        <v>4.5501600000000003E-2</v>
      </c>
      <c r="R43" s="263">
        <v>6.8548899999999998E-3</v>
      </c>
      <c r="S43" s="286">
        <v>3.1832700000000003E-11</v>
      </c>
      <c r="T43" s="333" t="s">
        <v>973</v>
      </c>
    </row>
    <row r="44" spans="1:20" x14ac:dyDescent="0.25">
      <c r="A44" s="1330">
        <v>6</v>
      </c>
      <c r="B44" s="253" t="s">
        <v>65</v>
      </c>
      <c r="C44" s="241">
        <v>4</v>
      </c>
      <c r="D44" s="241">
        <v>89625427</v>
      </c>
      <c r="E44" s="241" t="s">
        <v>979</v>
      </c>
      <c r="F44" s="900" t="s">
        <v>918</v>
      </c>
      <c r="G44" s="1119">
        <v>223877</v>
      </c>
      <c r="H44" s="273">
        <v>0.16137626344109099</v>
      </c>
      <c r="I44" s="274">
        <v>-3.3873402723533397E-2</v>
      </c>
      <c r="J44" s="274">
        <v>5.0451915751897501E-3</v>
      </c>
      <c r="K44" s="275">
        <v>1.8936378580154901E-11</v>
      </c>
      <c r="L44" s="253" t="s">
        <v>255</v>
      </c>
      <c r="M44" s="261" t="s">
        <v>973</v>
      </c>
      <c r="N44" s="262"/>
      <c r="O44" s="263"/>
      <c r="P44" s="283"/>
      <c r="Q44" s="263"/>
      <c r="R44" s="263"/>
      <c r="T44" s="333"/>
    </row>
    <row r="45" spans="1:20" x14ac:dyDescent="0.25">
      <c r="A45" s="1330"/>
      <c r="B45" s="253" t="s">
        <v>69</v>
      </c>
      <c r="C45" s="241">
        <v>4</v>
      </c>
      <c r="D45" s="241">
        <v>89668859</v>
      </c>
      <c r="E45" s="241" t="s">
        <v>978</v>
      </c>
      <c r="F45" s="900" t="s">
        <v>919</v>
      </c>
      <c r="G45" s="1119">
        <v>242970</v>
      </c>
      <c r="H45" s="273">
        <v>0.18864651527055301</v>
      </c>
      <c r="I45" s="274">
        <v>-2.4585259760279699E-2</v>
      </c>
      <c r="J45" s="274">
        <v>4.4608702553780404E-3</v>
      </c>
      <c r="K45" s="275">
        <v>3.5616328422515802E-8</v>
      </c>
      <c r="L45" s="253" t="s">
        <v>991</v>
      </c>
      <c r="M45" s="261" t="s">
        <v>973</v>
      </c>
      <c r="N45" s="262"/>
      <c r="O45" s="263"/>
      <c r="P45" s="283"/>
      <c r="Q45" s="263"/>
      <c r="R45" s="263"/>
      <c r="T45" s="333"/>
    </row>
    <row r="46" spans="1:20" x14ac:dyDescent="0.25">
      <c r="A46" s="1330">
        <v>7</v>
      </c>
      <c r="B46" s="253" t="s">
        <v>95</v>
      </c>
      <c r="C46" s="241">
        <v>6</v>
      </c>
      <c r="D46" s="241">
        <v>127476516</v>
      </c>
      <c r="E46" s="241" t="s">
        <v>980</v>
      </c>
      <c r="F46" s="900" t="s">
        <v>923</v>
      </c>
      <c r="G46" s="1119">
        <v>250034</v>
      </c>
      <c r="H46" s="273">
        <v>0.54205731972841997</v>
      </c>
      <c r="I46" s="274">
        <v>3.4573140105777299E-2</v>
      </c>
      <c r="J46" s="274">
        <v>3.48934400305892E-3</v>
      </c>
      <c r="K46" s="275">
        <v>3.8346871783990102E-23</v>
      </c>
      <c r="L46" s="253" t="s">
        <v>255</v>
      </c>
      <c r="M46" s="261" t="s">
        <v>99</v>
      </c>
      <c r="N46" s="262">
        <v>291438</v>
      </c>
      <c r="O46" s="263">
        <v>0</v>
      </c>
      <c r="P46" s="283">
        <v>9.0933799999999999E-3</v>
      </c>
      <c r="Q46" s="263">
        <v>0.13653199999999999</v>
      </c>
      <c r="R46" s="263">
        <v>2.0222E-2</v>
      </c>
      <c r="S46" s="286">
        <v>1.4617500000000001E-11</v>
      </c>
      <c r="T46" s="333" t="s">
        <v>973</v>
      </c>
    </row>
    <row r="47" spans="1:20" ht="30" x14ac:dyDescent="0.25">
      <c r="A47" s="1330"/>
      <c r="B47" s="253" t="s">
        <v>99</v>
      </c>
      <c r="C47" s="241">
        <v>6</v>
      </c>
      <c r="D47" s="241">
        <v>127767954</v>
      </c>
      <c r="E47" s="241" t="s">
        <v>980</v>
      </c>
      <c r="F47" s="900" t="s">
        <v>924</v>
      </c>
      <c r="G47" s="1119">
        <v>205203</v>
      </c>
      <c r="H47" s="273">
        <v>9.0933775309227898E-3</v>
      </c>
      <c r="I47" s="274">
        <v>0.14962275088037</v>
      </c>
      <c r="J47" s="274">
        <v>2.0158310130301501E-2</v>
      </c>
      <c r="K47" s="275">
        <v>1.1502933297979799E-13</v>
      </c>
      <c r="L47" s="253" t="s">
        <v>981</v>
      </c>
      <c r="M47" s="261" t="s">
        <v>95</v>
      </c>
      <c r="N47" s="262">
        <v>291438</v>
      </c>
      <c r="O47" s="263">
        <v>0</v>
      </c>
      <c r="P47" s="283">
        <v>0.54205731972841997</v>
      </c>
      <c r="Q47" s="263">
        <v>3.1635099999999999E-2</v>
      </c>
      <c r="R47" s="263">
        <v>3.4227099999999998E-3</v>
      </c>
      <c r="S47" s="286">
        <v>2.40316E-20</v>
      </c>
      <c r="T47" s="333" t="s">
        <v>973</v>
      </c>
    </row>
    <row r="48" spans="1:20" x14ac:dyDescent="0.25">
      <c r="A48" s="241">
        <v>8</v>
      </c>
      <c r="B48" s="253" t="s">
        <v>122</v>
      </c>
      <c r="C48" s="241">
        <v>11</v>
      </c>
      <c r="D48" s="241">
        <v>64031241</v>
      </c>
      <c r="E48" s="241" t="s">
        <v>974</v>
      </c>
      <c r="F48" s="792" t="s">
        <v>123</v>
      </c>
      <c r="G48" s="1119">
        <v>250097</v>
      </c>
      <c r="H48" s="273">
        <v>6.0155256169732003E-2</v>
      </c>
      <c r="I48" s="274">
        <v>4.30178223591322E-2</v>
      </c>
      <c r="J48" s="274">
        <v>7.22310753117814E-3</v>
      </c>
      <c r="K48" s="275">
        <v>2.5914503261373902E-9</v>
      </c>
      <c r="L48" s="253" t="s">
        <v>255</v>
      </c>
      <c r="M48" s="261" t="s">
        <v>973</v>
      </c>
      <c r="N48" s="262"/>
      <c r="O48" s="263"/>
      <c r="P48" s="283"/>
      <c r="Q48" s="263"/>
      <c r="R48" s="263"/>
      <c r="T48" s="333"/>
    </row>
    <row r="49" spans="1:20" x14ac:dyDescent="0.25">
      <c r="A49" s="241">
        <v>9</v>
      </c>
      <c r="B49" s="253" t="s">
        <v>131</v>
      </c>
      <c r="C49" s="241">
        <v>12</v>
      </c>
      <c r="D49" s="241">
        <v>48143315</v>
      </c>
      <c r="E49" s="241" t="s">
        <v>980</v>
      </c>
      <c r="F49" s="792" t="s">
        <v>132</v>
      </c>
      <c r="G49" s="1119">
        <v>246266</v>
      </c>
      <c r="H49" s="273">
        <v>1.02853461047636E-2</v>
      </c>
      <c r="I49" s="274">
        <v>-0.10181234262137701</v>
      </c>
      <c r="J49" s="274">
        <v>1.6583624797097098E-2</v>
      </c>
      <c r="K49" s="275">
        <v>8.28703369308542E-10</v>
      </c>
      <c r="L49" s="253" t="s">
        <v>255</v>
      </c>
      <c r="M49" s="261" t="s">
        <v>973</v>
      </c>
      <c r="N49" s="262"/>
      <c r="O49" s="263"/>
      <c r="P49" s="283"/>
      <c r="Q49" s="263"/>
      <c r="R49" s="263"/>
      <c r="T49" s="333"/>
    </row>
    <row r="50" spans="1:20" x14ac:dyDescent="0.25">
      <c r="A50" s="1330" t="s">
        <v>5265</v>
      </c>
      <c r="B50" s="253" t="s">
        <v>143</v>
      </c>
      <c r="C50" s="241">
        <v>12</v>
      </c>
      <c r="D50" s="241">
        <v>124265687</v>
      </c>
      <c r="E50" s="241" t="s">
        <v>974</v>
      </c>
      <c r="F50" s="1345" t="s">
        <v>940</v>
      </c>
      <c r="G50" s="1119">
        <v>250054</v>
      </c>
      <c r="H50" s="273">
        <v>0.63239715568669497</v>
      </c>
      <c r="I50" s="274">
        <v>-2.7629884605145101E-2</v>
      </c>
      <c r="J50" s="274">
        <v>3.5701445801609001E-3</v>
      </c>
      <c r="K50" s="275">
        <v>1.0008360996311801E-14</v>
      </c>
      <c r="L50" s="253" t="s">
        <v>985</v>
      </c>
      <c r="M50" s="261" t="s">
        <v>149</v>
      </c>
      <c r="N50" s="262">
        <v>161619</v>
      </c>
      <c r="O50" s="263">
        <v>5.0000000000000001E-3</v>
      </c>
      <c r="P50" s="283">
        <v>0.31084663516972699</v>
      </c>
      <c r="Q50" s="263">
        <v>-3.4143E-2</v>
      </c>
      <c r="R50" s="263">
        <v>3.8808100000000002E-3</v>
      </c>
      <c r="S50" s="286">
        <v>1.39401E-18</v>
      </c>
      <c r="T50" s="333" t="s">
        <v>973</v>
      </c>
    </row>
    <row r="51" spans="1:20" x14ac:dyDescent="0.25">
      <c r="A51" s="1330"/>
      <c r="B51" s="253" t="s">
        <v>146</v>
      </c>
      <c r="C51" s="241">
        <v>12</v>
      </c>
      <c r="D51" s="241">
        <v>124330311</v>
      </c>
      <c r="E51" s="241" t="s">
        <v>978</v>
      </c>
      <c r="F51" s="1345"/>
      <c r="G51" s="1119">
        <v>250066</v>
      </c>
      <c r="H51" s="273">
        <v>0.108406354009082</v>
      </c>
      <c r="I51" s="274">
        <v>-4.0619392945088401E-2</v>
      </c>
      <c r="J51" s="274">
        <v>5.5392461788004799E-3</v>
      </c>
      <c r="K51" s="275">
        <v>2.2502639291088799E-13</v>
      </c>
      <c r="L51" s="253" t="s">
        <v>985</v>
      </c>
      <c r="M51" s="261" t="s">
        <v>149</v>
      </c>
      <c r="N51" s="262">
        <v>96995</v>
      </c>
      <c r="O51" s="263">
        <v>8.5000000000000006E-2</v>
      </c>
      <c r="P51" s="283">
        <v>0.31084663516972699</v>
      </c>
      <c r="Q51" s="263">
        <v>-3.4107499999999999E-2</v>
      </c>
      <c r="R51" s="263">
        <v>4.03361E-3</v>
      </c>
      <c r="S51" s="286">
        <v>2.7712699999999999E-17</v>
      </c>
      <c r="T51" s="333" t="s">
        <v>973</v>
      </c>
    </row>
    <row r="52" spans="1:20" x14ac:dyDescent="0.25">
      <c r="A52" s="1330"/>
      <c r="B52" s="253" t="s">
        <v>149</v>
      </c>
      <c r="C52" s="241">
        <v>12</v>
      </c>
      <c r="D52" s="241">
        <v>124427306</v>
      </c>
      <c r="E52" s="241" t="s">
        <v>986</v>
      </c>
      <c r="F52" s="900" t="s">
        <v>941</v>
      </c>
      <c r="G52" s="1119">
        <v>244678</v>
      </c>
      <c r="H52" s="273">
        <v>0.31084663516972699</v>
      </c>
      <c r="I52" s="274">
        <v>-4.0290008477731003E-2</v>
      </c>
      <c r="J52" s="274">
        <v>3.77097853012665E-3</v>
      </c>
      <c r="K52" s="275">
        <v>1.2064378211455499E-26</v>
      </c>
      <c r="L52" s="253" t="s">
        <v>255</v>
      </c>
      <c r="M52" s="261" t="s">
        <v>973</v>
      </c>
      <c r="N52" s="262"/>
      <c r="O52" s="263"/>
      <c r="P52" s="283"/>
      <c r="Q52" s="263"/>
      <c r="R52" s="263"/>
      <c r="T52" s="333"/>
    </row>
    <row r="53" spans="1:20" x14ac:dyDescent="0.25">
      <c r="A53" s="1330">
        <v>11</v>
      </c>
      <c r="B53" s="253" t="s">
        <v>161</v>
      </c>
      <c r="C53" s="241">
        <v>16</v>
      </c>
      <c r="D53" s="241">
        <v>4432029</v>
      </c>
      <c r="E53" s="241" t="s">
        <v>972</v>
      </c>
      <c r="F53" s="900" t="s">
        <v>948</v>
      </c>
      <c r="G53" s="1119">
        <v>217116</v>
      </c>
      <c r="H53" s="273">
        <v>0.76930546403095001</v>
      </c>
      <c r="I53" s="274">
        <v>-2.50616794957737E-2</v>
      </c>
      <c r="J53" s="274">
        <v>4.5072527205842301E-3</v>
      </c>
      <c r="K53" s="275">
        <v>2.69310563129486E-8</v>
      </c>
      <c r="L53" s="253" t="s">
        <v>992</v>
      </c>
      <c r="M53" s="261" t="s">
        <v>973</v>
      </c>
      <c r="N53" s="262"/>
      <c r="O53" s="263"/>
      <c r="P53" s="283"/>
      <c r="Q53" s="263"/>
      <c r="R53" s="263"/>
      <c r="T53" s="333"/>
    </row>
    <row r="54" spans="1:20" x14ac:dyDescent="0.25">
      <c r="A54" s="1330"/>
      <c r="B54" s="253" t="s">
        <v>164</v>
      </c>
      <c r="C54" s="241">
        <v>16</v>
      </c>
      <c r="D54" s="241">
        <v>4445327</v>
      </c>
      <c r="E54" s="241" t="s">
        <v>978</v>
      </c>
      <c r="F54" s="900" t="s">
        <v>949</v>
      </c>
      <c r="G54" s="1119">
        <v>244593</v>
      </c>
      <c r="H54" s="273">
        <v>0.68982563079609505</v>
      </c>
      <c r="I54" s="274">
        <v>-2.3162737358817801E-2</v>
      </c>
      <c r="J54" s="274">
        <v>3.9293892261901796E-3</v>
      </c>
      <c r="K54" s="275">
        <v>3.75266294985893E-9</v>
      </c>
      <c r="L54" s="253" t="s">
        <v>255</v>
      </c>
      <c r="M54" s="261" t="s">
        <v>973</v>
      </c>
      <c r="N54" s="262"/>
      <c r="O54" s="263"/>
      <c r="P54" s="283"/>
      <c r="Q54" s="263"/>
      <c r="R54" s="263"/>
      <c r="T54" s="333"/>
    </row>
    <row r="55" spans="1:20" x14ac:dyDescent="0.25">
      <c r="A55" s="1330">
        <v>12</v>
      </c>
      <c r="B55" s="253" t="s">
        <v>178</v>
      </c>
      <c r="C55" s="241">
        <v>19</v>
      </c>
      <c r="D55" s="241">
        <v>18285944</v>
      </c>
      <c r="E55" s="241" t="s">
        <v>980</v>
      </c>
      <c r="F55" s="900" t="s">
        <v>957</v>
      </c>
      <c r="G55" s="1119">
        <v>250069</v>
      </c>
      <c r="H55" s="273">
        <v>0.25567719177265402</v>
      </c>
      <c r="I55" s="274">
        <v>2.14650741307514E-2</v>
      </c>
      <c r="J55" s="274">
        <v>4.02020291998901E-3</v>
      </c>
      <c r="K55" s="275">
        <v>9.3305538109902796E-8</v>
      </c>
      <c r="L55" s="253" t="s">
        <v>993</v>
      </c>
      <c r="M55" s="261" t="s">
        <v>973</v>
      </c>
      <c r="N55" s="262"/>
      <c r="O55" s="263"/>
      <c r="P55" s="283"/>
      <c r="Q55" s="263"/>
      <c r="R55" s="263"/>
      <c r="T55" s="333"/>
    </row>
    <row r="56" spans="1:20" x14ac:dyDescent="0.25">
      <c r="A56" s="1330"/>
      <c r="B56" s="253" t="s">
        <v>182</v>
      </c>
      <c r="C56" s="241">
        <v>19</v>
      </c>
      <c r="D56" s="241">
        <v>18304700</v>
      </c>
      <c r="E56" s="241" t="s">
        <v>975</v>
      </c>
      <c r="F56" s="900" t="s">
        <v>958</v>
      </c>
      <c r="G56" s="1119">
        <v>250064</v>
      </c>
      <c r="H56" s="273">
        <v>0.26873492351455303</v>
      </c>
      <c r="I56" s="274">
        <v>2.2718694600358001E-2</v>
      </c>
      <c r="J56" s="274">
        <v>3.9615449482935002E-3</v>
      </c>
      <c r="K56" s="275">
        <v>9.7623606562474007E-9</v>
      </c>
      <c r="L56" s="253" t="s">
        <v>255</v>
      </c>
      <c r="M56" s="261" t="s">
        <v>973</v>
      </c>
      <c r="N56" s="262"/>
      <c r="O56" s="263"/>
      <c r="P56" s="283"/>
      <c r="Q56" s="263"/>
      <c r="R56" s="263"/>
      <c r="T56" s="333"/>
    </row>
    <row r="57" spans="1:20" x14ac:dyDescent="0.25">
      <c r="A57" s="241">
        <v>13</v>
      </c>
      <c r="B57" s="253" t="s">
        <v>185</v>
      </c>
      <c r="C57" s="241">
        <v>19</v>
      </c>
      <c r="D57" s="241">
        <v>49232226</v>
      </c>
      <c r="E57" s="241" t="s">
        <v>980</v>
      </c>
      <c r="F57" s="792" t="s">
        <v>186</v>
      </c>
      <c r="G57" s="1119">
        <v>235654</v>
      </c>
      <c r="H57" s="273">
        <v>0.47653624366060499</v>
      </c>
      <c r="I57" s="274">
        <v>1.99010731247596E-2</v>
      </c>
      <c r="J57" s="274">
        <v>3.7620689382027099E-3</v>
      </c>
      <c r="K57" s="275">
        <v>1.22364642390215E-7</v>
      </c>
      <c r="L57" s="253" t="s">
        <v>255</v>
      </c>
      <c r="M57" s="261" t="s">
        <v>973</v>
      </c>
      <c r="N57" s="262"/>
      <c r="O57" s="263"/>
      <c r="P57" s="283"/>
      <c r="Q57" s="263"/>
      <c r="R57" s="263"/>
      <c r="T57" s="333"/>
    </row>
    <row r="58" spans="1:20" x14ac:dyDescent="0.25">
      <c r="A58" s="33" t="s">
        <v>244</v>
      </c>
      <c r="H58" s="273"/>
      <c r="M58" s="261"/>
      <c r="N58" s="262"/>
      <c r="O58" s="263"/>
      <c r="P58" s="283"/>
      <c r="Q58" s="263"/>
      <c r="R58" s="263"/>
      <c r="T58" s="333"/>
    </row>
    <row r="59" spans="1:20" x14ac:dyDescent="0.25">
      <c r="A59" s="241">
        <v>1</v>
      </c>
      <c r="B59" s="253" t="s">
        <v>76</v>
      </c>
      <c r="C59" s="241">
        <v>5</v>
      </c>
      <c r="D59" s="241">
        <v>176516631</v>
      </c>
      <c r="E59" s="241" t="s">
        <v>980</v>
      </c>
      <c r="F59" s="792" t="s">
        <v>77</v>
      </c>
      <c r="G59" s="1119">
        <v>209944</v>
      </c>
      <c r="H59" s="274">
        <v>0.23386926742118799</v>
      </c>
      <c r="I59" s="274">
        <v>2.538002256349E-2</v>
      </c>
      <c r="J59" s="274">
        <v>4.3637009072363901E-3</v>
      </c>
      <c r="K59" s="275">
        <v>6.0211542135446103E-9</v>
      </c>
      <c r="L59" s="253" t="s">
        <v>255</v>
      </c>
      <c r="M59" s="261" t="s">
        <v>973</v>
      </c>
      <c r="N59" s="262"/>
      <c r="O59" s="263"/>
      <c r="P59" s="283"/>
      <c r="T59" s="333"/>
    </row>
    <row r="60" spans="1:20" x14ac:dyDescent="0.25">
      <c r="A60" s="241">
        <v>2</v>
      </c>
      <c r="B60" s="253" t="s">
        <v>81</v>
      </c>
      <c r="C60" s="241">
        <v>6</v>
      </c>
      <c r="D60" s="241">
        <v>7211818</v>
      </c>
      <c r="E60" s="241" t="s">
        <v>975</v>
      </c>
      <c r="F60" s="792" t="s">
        <v>82</v>
      </c>
      <c r="G60" s="1119">
        <v>226654</v>
      </c>
      <c r="H60" s="274">
        <v>0.44821176761772602</v>
      </c>
      <c r="I60" s="274">
        <v>-1.89339741403724E-2</v>
      </c>
      <c r="J60" s="274">
        <v>3.52859204724229E-3</v>
      </c>
      <c r="K60" s="275">
        <v>8.0558948293380102E-8</v>
      </c>
      <c r="L60" s="253" t="s">
        <v>255</v>
      </c>
      <c r="M60" s="261" t="s">
        <v>973</v>
      </c>
      <c r="N60" s="262"/>
      <c r="O60" s="263"/>
      <c r="P60" s="283"/>
      <c r="T60" s="333"/>
    </row>
    <row r="61" spans="1:20" x14ac:dyDescent="0.25">
      <c r="A61" s="241">
        <v>3</v>
      </c>
      <c r="B61" s="253" t="s">
        <v>246</v>
      </c>
      <c r="C61" s="241">
        <v>13</v>
      </c>
      <c r="D61" s="241">
        <v>96665697</v>
      </c>
      <c r="E61" s="241" t="s">
        <v>980</v>
      </c>
      <c r="F61" s="792" t="s">
        <v>247</v>
      </c>
      <c r="G61" s="1119">
        <v>203009</v>
      </c>
      <c r="H61" s="274">
        <v>5.8347989168843596E-3</v>
      </c>
      <c r="I61" s="274">
        <v>0.142263575930727</v>
      </c>
      <c r="J61" s="274">
        <v>2.48027453720975E-2</v>
      </c>
      <c r="K61" s="275">
        <v>9.7053388289957596E-9</v>
      </c>
      <c r="L61" s="253" t="s">
        <v>255</v>
      </c>
      <c r="M61" s="261" t="s">
        <v>973</v>
      </c>
      <c r="N61" s="262"/>
      <c r="O61" s="263"/>
      <c r="P61" s="283"/>
      <c r="T61" s="333"/>
    </row>
    <row r="62" spans="1:20" x14ac:dyDescent="0.25">
      <c r="A62" s="241">
        <v>4</v>
      </c>
      <c r="B62" s="253" t="s">
        <v>251</v>
      </c>
      <c r="C62" s="241">
        <v>14</v>
      </c>
      <c r="D62" s="241">
        <v>23312594</v>
      </c>
      <c r="E62" s="241" t="s">
        <v>980</v>
      </c>
      <c r="F62" s="792" t="s">
        <v>252</v>
      </c>
      <c r="G62" s="1119">
        <v>226646</v>
      </c>
      <c r="H62" s="274">
        <v>0.196962749723572</v>
      </c>
      <c r="I62" s="274">
        <v>2.3280363242968501E-2</v>
      </c>
      <c r="J62" s="274">
        <v>4.3830438120237803E-3</v>
      </c>
      <c r="K62" s="275">
        <v>1.08750257606198E-7</v>
      </c>
      <c r="L62" s="253" t="s">
        <v>255</v>
      </c>
      <c r="M62" s="261" t="s">
        <v>973</v>
      </c>
      <c r="N62" s="262"/>
      <c r="O62" s="263"/>
      <c r="P62" s="283"/>
      <c r="T62" s="333"/>
    </row>
    <row r="63" spans="1:20" x14ac:dyDescent="0.25">
      <c r="A63" s="1330">
        <v>5</v>
      </c>
      <c r="B63" s="262" t="s">
        <v>193</v>
      </c>
      <c r="C63" s="287">
        <v>20</v>
      </c>
      <c r="D63" s="241">
        <v>33971914</v>
      </c>
      <c r="E63" s="241" t="s">
        <v>974</v>
      </c>
      <c r="F63" s="900" t="s">
        <v>265</v>
      </c>
      <c r="G63" s="1119">
        <v>226655</v>
      </c>
      <c r="H63" s="273">
        <v>0.57852779520573805</v>
      </c>
      <c r="I63" s="273">
        <v>2.4196760506946E-2</v>
      </c>
      <c r="J63" s="273">
        <v>3.6091460936380801E-3</v>
      </c>
      <c r="K63" s="288">
        <v>2.0238857464176099E-11</v>
      </c>
      <c r="L63" s="253" t="s">
        <v>255</v>
      </c>
      <c r="M63" s="261" t="s">
        <v>973</v>
      </c>
      <c r="N63" s="262"/>
      <c r="O63" s="263"/>
      <c r="P63" s="283"/>
      <c r="T63" s="333"/>
    </row>
    <row r="64" spans="1:20" x14ac:dyDescent="0.25">
      <c r="A64" s="1330"/>
      <c r="B64" s="253" t="s">
        <v>197</v>
      </c>
      <c r="C64" s="241">
        <v>20</v>
      </c>
      <c r="D64" s="241">
        <v>34022387</v>
      </c>
      <c r="E64" s="241" t="s">
        <v>972</v>
      </c>
      <c r="F64" s="900" t="s">
        <v>959</v>
      </c>
      <c r="G64" s="1119">
        <v>167536</v>
      </c>
      <c r="H64" s="274">
        <v>0.37103360607705299</v>
      </c>
      <c r="I64" s="274">
        <v>-2.5136514630649202E-2</v>
      </c>
      <c r="J64" s="274">
        <v>4.5440970195720796E-3</v>
      </c>
      <c r="K64" s="275">
        <v>3.1716858619457899E-8</v>
      </c>
      <c r="L64" s="253" t="s">
        <v>255</v>
      </c>
      <c r="M64" s="261" t="s">
        <v>973</v>
      </c>
      <c r="N64" s="262"/>
      <c r="O64" s="263"/>
      <c r="P64" s="283"/>
      <c r="T64" s="333"/>
    </row>
    <row r="65" spans="1:20" x14ac:dyDescent="0.25">
      <c r="A65" s="33" t="s">
        <v>994</v>
      </c>
      <c r="M65" s="261"/>
      <c r="N65" s="262"/>
      <c r="O65" s="263"/>
      <c r="P65" s="283"/>
      <c r="T65" s="333"/>
    </row>
    <row r="66" spans="1:20" x14ac:dyDescent="0.25">
      <c r="A66" s="241">
        <v>1</v>
      </c>
      <c r="B66" s="116" t="s">
        <v>211</v>
      </c>
      <c r="C66" s="241">
        <v>1</v>
      </c>
      <c r="D66" s="224">
        <v>173802608</v>
      </c>
      <c r="E66" s="241" t="s">
        <v>975</v>
      </c>
      <c r="F66" s="60" t="s">
        <v>212</v>
      </c>
      <c r="G66" s="1">
        <v>352646</v>
      </c>
      <c r="H66" s="280">
        <v>1.423301784777E-3</v>
      </c>
      <c r="I66" s="280">
        <v>0.217024034866585</v>
      </c>
      <c r="J66" s="274">
        <v>4.0868521783627397E-2</v>
      </c>
      <c r="K66" s="275">
        <v>1.09446051076837E-7</v>
      </c>
      <c r="L66" s="253" t="s">
        <v>255</v>
      </c>
      <c r="M66" s="261" t="s">
        <v>973</v>
      </c>
      <c r="N66" s="262"/>
      <c r="O66" s="263"/>
      <c r="P66" s="283"/>
      <c r="T66" s="333"/>
    </row>
    <row r="67" spans="1:20" x14ac:dyDescent="0.25">
      <c r="A67" s="241">
        <v>2</v>
      </c>
      <c r="B67" s="116" t="s">
        <v>58</v>
      </c>
      <c r="C67" s="241">
        <v>3</v>
      </c>
      <c r="D67" s="241">
        <v>129137188</v>
      </c>
      <c r="E67" s="241" t="s">
        <v>978</v>
      </c>
      <c r="F67" s="60" t="s">
        <v>917</v>
      </c>
      <c r="G67" s="1">
        <v>420505</v>
      </c>
      <c r="H67" s="280">
        <v>6.8787075575405907E-2</v>
      </c>
      <c r="I67" s="280">
        <v>-3.5256851802377101E-2</v>
      </c>
      <c r="J67" s="274">
        <v>5.3031543488044298E-3</v>
      </c>
      <c r="K67" s="275">
        <v>2.9653900418273097E-11</v>
      </c>
      <c r="L67" s="253" t="s">
        <v>255</v>
      </c>
      <c r="M67" s="261" t="s">
        <v>973</v>
      </c>
      <c r="N67" s="262"/>
      <c r="O67" s="263"/>
      <c r="P67" s="283"/>
      <c r="T67" s="333"/>
    </row>
    <row r="68" spans="1:20" x14ac:dyDescent="0.25">
      <c r="A68" s="33" t="s">
        <v>264</v>
      </c>
      <c r="B68" s="116"/>
      <c r="D68" s="224"/>
      <c r="E68" s="241" t="s">
        <v>1</v>
      </c>
      <c r="F68" s="60"/>
      <c r="G68" s="841"/>
      <c r="H68" s="280"/>
      <c r="I68" s="280"/>
      <c r="M68" s="261"/>
      <c r="N68" s="262"/>
      <c r="O68" s="263"/>
      <c r="P68" s="283"/>
      <c r="T68" s="333"/>
    </row>
    <row r="69" spans="1:20" x14ac:dyDescent="0.25">
      <c r="A69" s="265">
        <v>1</v>
      </c>
      <c r="B69" s="266" t="s">
        <v>193</v>
      </c>
      <c r="C69" s="276">
        <v>20</v>
      </c>
      <c r="D69" s="276">
        <v>33971914</v>
      </c>
      <c r="E69" s="265" t="s">
        <v>974</v>
      </c>
      <c r="F69" s="200" t="s">
        <v>265</v>
      </c>
      <c r="G69" s="1">
        <v>193393</v>
      </c>
      <c r="H69" s="281">
        <v>0.60854016098530295</v>
      </c>
      <c r="I69" s="281">
        <v>1.8908015067363702E-2</v>
      </c>
      <c r="J69" s="277">
        <v>2.9771354434552301E-3</v>
      </c>
      <c r="K69" s="623">
        <v>2.13813285688885E-10</v>
      </c>
      <c r="L69" s="268" t="s">
        <v>255</v>
      </c>
      <c r="M69" s="269" t="s">
        <v>973</v>
      </c>
      <c r="N69" s="268"/>
      <c r="O69" s="267"/>
      <c r="P69" s="284"/>
      <c r="Q69" s="267"/>
      <c r="R69" s="267"/>
      <c r="S69" s="268"/>
      <c r="T69" s="334"/>
    </row>
    <row r="70" spans="1:20" x14ac:dyDescent="0.25">
      <c r="A70" s="1343" t="s">
        <v>995</v>
      </c>
      <c r="B70" s="1343"/>
      <c r="C70" s="1343"/>
      <c r="D70" s="1343"/>
      <c r="E70" s="1343"/>
      <c r="F70" s="1343"/>
      <c r="G70" s="1343"/>
      <c r="H70" s="1343"/>
      <c r="I70" s="1343"/>
      <c r="J70" s="1343"/>
      <c r="K70" s="1343"/>
      <c r="L70" s="1343"/>
      <c r="M70" s="1343"/>
      <c r="N70" s="1343"/>
      <c r="O70" s="1343"/>
      <c r="P70" s="1343"/>
      <c r="Q70" s="1343"/>
      <c r="R70" s="1343"/>
      <c r="S70" s="1343"/>
      <c r="T70" s="1343"/>
    </row>
    <row r="71" spans="1:20" x14ac:dyDescent="0.25">
      <c r="A71" s="1238" t="s">
        <v>5322</v>
      </c>
      <c r="B71" s="1238"/>
      <c r="C71" s="1238"/>
      <c r="D71" s="1238"/>
      <c r="E71" s="1238"/>
      <c r="F71" s="1238"/>
      <c r="G71" s="1238"/>
      <c r="H71" s="1238"/>
      <c r="I71" s="1238"/>
      <c r="J71" s="1238"/>
      <c r="K71" s="1238"/>
      <c r="L71" s="1238"/>
      <c r="M71" s="1238"/>
      <c r="N71" s="1238"/>
      <c r="O71" s="1238"/>
      <c r="P71" s="1238"/>
      <c r="Q71" s="1238"/>
      <c r="R71" s="1238"/>
      <c r="S71" s="1238"/>
      <c r="T71" s="1238"/>
    </row>
    <row r="72" spans="1:20" x14ac:dyDescent="0.25">
      <c r="A72" s="1231" t="s">
        <v>5323</v>
      </c>
      <c r="B72" s="1231"/>
      <c r="C72" s="1231"/>
      <c r="D72" s="1231"/>
      <c r="E72" s="1231"/>
      <c r="F72" s="1231"/>
      <c r="G72" s="1231"/>
      <c r="H72" s="1231"/>
      <c r="I72" s="1231"/>
      <c r="J72" s="1231"/>
      <c r="K72" s="1231"/>
      <c r="L72" s="1231"/>
      <c r="M72" s="1231"/>
      <c r="N72" s="1231"/>
      <c r="O72" s="1231"/>
      <c r="P72" s="1231"/>
      <c r="Q72" s="1231"/>
      <c r="R72" s="1231"/>
      <c r="S72" s="1231"/>
      <c r="T72" s="1231"/>
    </row>
    <row r="73" spans="1:20" x14ac:dyDescent="0.25">
      <c r="A73" s="1344" t="s">
        <v>5324</v>
      </c>
      <c r="B73" s="1344"/>
      <c r="C73" s="1344"/>
      <c r="D73" s="1344"/>
      <c r="E73" s="1344"/>
      <c r="F73" s="1344"/>
      <c r="G73" s="1344"/>
      <c r="H73" s="1344"/>
      <c r="I73" s="1344"/>
      <c r="J73" s="1344"/>
      <c r="K73" s="1344"/>
      <c r="L73" s="1344"/>
      <c r="M73" s="1344"/>
      <c r="N73" s="1344"/>
      <c r="O73" s="1344"/>
      <c r="P73" s="1344"/>
      <c r="Q73" s="1344"/>
      <c r="R73" s="1344"/>
      <c r="S73" s="1344"/>
      <c r="T73" s="1344"/>
    </row>
    <row r="74" spans="1:20" x14ac:dyDescent="0.25">
      <c r="A74" s="1344" t="s">
        <v>5325</v>
      </c>
      <c r="B74" s="1344"/>
      <c r="C74" s="1344"/>
      <c r="D74" s="1344"/>
      <c r="E74" s="1344"/>
      <c r="F74" s="1344"/>
      <c r="G74" s="1344"/>
      <c r="H74" s="1344"/>
      <c r="I74" s="1344"/>
      <c r="J74" s="1344"/>
      <c r="K74" s="1344"/>
      <c r="L74" s="1344"/>
      <c r="M74" s="1344"/>
      <c r="N74" s="1344"/>
      <c r="O74" s="1344"/>
      <c r="P74" s="1344"/>
      <c r="Q74" s="1344"/>
      <c r="R74" s="1344"/>
      <c r="S74" s="1344"/>
      <c r="T74" s="1344"/>
    </row>
    <row r="75" spans="1:20" x14ac:dyDescent="0.25">
      <c r="A75" s="1349" t="s">
        <v>5326</v>
      </c>
      <c r="B75" s="1349"/>
      <c r="C75" s="1349"/>
      <c r="D75" s="1349"/>
      <c r="E75" s="1349"/>
      <c r="F75" s="1349"/>
      <c r="G75" s="1349"/>
      <c r="H75" s="1349"/>
      <c r="I75" s="1349"/>
      <c r="J75" s="1349"/>
      <c r="K75" s="1349"/>
      <c r="L75" s="1349"/>
      <c r="M75" s="1349"/>
      <c r="N75" s="1349"/>
      <c r="O75" s="1349"/>
      <c r="P75" s="1349"/>
      <c r="Q75" s="1349"/>
      <c r="R75" s="1349"/>
      <c r="S75" s="1349"/>
      <c r="T75" s="1349"/>
    </row>
    <row r="76" spans="1:20" x14ac:dyDescent="0.25">
      <c r="A76" s="1349" t="s">
        <v>5327</v>
      </c>
      <c r="B76" s="1349"/>
      <c r="C76" s="1349"/>
      <c r="D76" s="1349"/>
      <c r="E76" s="1349"/>
      <c r="F76" s="1349"/>
      <c r="G76" s="1349"/>
      <c r="H76" s="1349"/>
      <c r="I76" s="1349"/>
      <c r="J76" s="1349"/>
      <c r="K76" s="1349"/>
      <c r="L76" s="1349"/>
      <c r="M76" s="1349"/>
      <c r="N76" s="1349"/>
      <c r="O76" s="1349"/>
      <c r="P76" s="1349"/>
      <c r="Q76" s="1349"/>
      <c r="R76" s="1349"/>
      <c r="S76" s="1349"/>
      <c r="T76" s="1349"/>
    </row>
    <row r="77" spans="1:20" x14ac:dyDescent="0.25">
      <c r="A77" s="1349" t="s">
        <v>5328</v>
      </c>
      <c r="B77" s="1349"/>
      <c r="C77" s="1349"/>
      <c r="D77" s="1349"/>
      <c r="E77" s="1349"/>
      <c r="F77" s="1349"/>
      <c r="G77" s="1349"/>
      <c r="H77" s="1349"/>
      <c r="I77" s="1349"/>
      <c r="J77" s="1349"/>
      <c r="K77" s="1349"/>
      <c r="L77" s="1349"/>
      <c r="M77" s="1349"/>
      <c r="N77" s="1349"/>
      <c r="O77" s="1349"/>
      <c r="P77" s="1349"/>
      <c r="Q77" s="1349"/>
      <c r="R77" s="1349"/>
      <c r="S77" s="1349"/>
      <c r="T77" s="1349"/>
    </row>
    <row r="78" spans="1:20" x14ac:dyDescent="0.25">
      <c r="A78" s="1349" t="s">
        <v>5329</v>
      </c>
      <c r="B78" s="1349"/>
      <c r="C78" s="1349"/>
      <c r="D78" s="1349"/>
      <c r="E78" s="1349"/>
      <c r="F78" s="1349"/>
      <c r="G78" s="1349"/>
      <c r="H78" s="1349"/>
      <c r="I78" s="1349"/>
      <c r="J78" s="1349"/>
      <c r="K78" s="1349"/>
      <c r="L78" s="1349"/>
      <c r="M78" s="1349"/>
      <c r="N78" s="1349"/>
      <c r="O78" s="1349"/>
      <c r="P78" s="1349"/>
      <c r="Q78" s="1349"/>
      <c r="R78" s="1349"/>
      <c r="S78" s="1349"/>
      <c r="T78" s="1349"/>
    </row>
  </sheetData>
  <mergeCells count="50">
    <mergeCell ref="A74:T74"/>
    <mergeCell ref="A75:T75"/>
    <mergeCell ref="A76:T76"/>
    <mergeCell ref="A77:T77"/>
    <mergeCell ref="A78:T78"/>
    <mergeCell ref="A1:T1"/>
    <mergeCell ref="A70:T70"/>
    <mergeCell ref="A71:T71"/>
    <mergeCell ref="A72:T72"/>
    <mergeCell ref="A73:T73"/>
    <mergeCell ref="F50:F51"/>
    <mergeCell ref="F25:F26"/>
    <mergeCell ref="F31:F32"/>
    <mergeCell ref="F19:F20"/>
    <mergeCell ref="T3:T5"/>
    <mergeCell ref="A63:A64"/>
    <mergeCell ref="A55:A56"/>
    <mergeCell ref="A53:A54"/>
    <mergeCell ref="A46:A47"/>
    <mergeCell ref="A44:A45"/>
    <mergeCell ref="A42:A43"/>
    <mergeCell ref="A50:A52"/>
    <mergeCell ref="A35:A36"/>
    <mergeCell ref="A31:A32"/>
    <mergeCell ref="A29:A30"/>
    <mergeCell ref="A25:A27"/>
    <mergeCell ref="A19:A20"/>
    <mergeCell ref="A16:A17"/>
    <mergeCell ref="A10:A11"/>
    <mergeCell ref="N4:N5"/>
    <mergeCell ref="C4:C5"/>
    <mergeCell ref="L4:L5"/>
    <mergeCell ref="M4:M5"/>
    <mergeCell ref="A4:A5"/>
    <mergeCell ref="B4:B5"/>
    <mergeCell ref="D4:D5"/>
    <mergeCell ref="F4:F5"/>
    <mergeCell ref="H4:H5"/>
    <mergeCell ref="I4:I5"/>
    <mergeCell ref="J4:J5"/>
    <mergeCell ref="K4:K5"/>
    <mergeCell ref="E4:E5"/>
    <mergeCell ref="G4:G5"/>
    <mergeCell ref="P4:P5"/>
    <mergeCell ref="I3:K3"/>
    <mergeCell ref="O4:O5"/>
    <mergeCell ref="M3:S3"/>
    <mergeCell ref="S4:S5"/>
    <mergeCell ref="R4:R5"/>
    <mergeCell ref="Q4:Q5"/>
  </mergeCells>
  <phoneticPr fontId="101" type="noConversion"/>
  <pageMargins left="0.7" right="0.7" top="0.75" bottom="0.75" header="0.3" footer="0.3"/>
  <pageSetup scale="56" fitToHeight="0"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361"/>
  <sheetViews>
    <sheetView topLeftCell="A31" workbookViewId="0">
      <selection activeCell="I43" sqref="A43:XFD44"/>
    </sheetView>
  </sheetViews>
  <sheetFormatPr defaultColWidth="13" defaultRowHeight="15.75" x14ac:dyDescent="0.25"/>
  <cols>
    <col min="1" max="1" width="11" style="747" customWidth="1"/>
    <col min="2" max="2" width="10.7109375" style="587" customWidth="1"/>
    <col min="3" max="3" width="4" style="748" customWidth="1"/>
    <col min="4" max="4" width="11.85546875" style="748" customWidth="1"/>
    <col min="5" max="5" width="12.140625" style="748" customWidth="1"/>
    <col min="6" max="6" width="11.28515625" style="749" customWidth="1"/>
    <col min="7" max="7" width="12.140625" style="611" customWidth="1"/>
    <col min="8" max="8" width="8.85546875" style="612" customWidth="1"/>
    <col min="9" max="9" width="14.42578125" style="611" customWidth="1"/>
    <col min="10" max="10" width="8.28515625" style="612" customWidth="1"/>
    <col min="11" max="11" width="16.28515625" style="748" customWidth="1"/>
    <col min="12" max="12" width="13.28515625" style="611" customWidth="1"/>
    <col min="13" max="13" width="8.28515625" style="612" customWidth="1"/>
    <col min="14" max="14" width="13.42578125" style="611" customWidth="1"/>
    <col min="15" max="15" width="8.28515625" style="612" customWidth="1"/>
    <col min="16" max="16" width="16.7109375" style="287" customWidth="1"/>
    <col min="17" max="48" width="13" style="138"/>
    <col min="49" max="16384" width="13" style="115"/>
  </cols>
  <sheetData>
    <row r="1" spans="1:48" s="127" customFormat="1" ht="32.25" customHeight="1" x14ac:dyDescent="0.25">
      <c r="A1" s="1380" t="s">
        <v>5572</v>
      </c>
      <c r="B1" s="1380"/>
      <c r="C1" s="1380"/>
      <c r="D1" s="1380"/>
      <c r="E1" s="1380"/>
      <c r="F1" s="1380"/>
      <c r="G1" s="1380"/>
      <c r="H1" s="1380"/>
      <c r="I1" s="1380"/>
      <c r="J1" s="1380"/>
      <c r="K1" s="1380"/>
      <c r="L1" s="1380"/>
      <c r="M1" s="1380"/>
      <c r="N1" s="1380"/>
      <c r="O1" s="1380"/>
      <c r="P1" s="1380"/>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row>
    <row r="2" spans="1:48" s="127" customFormat="1" x14ac:dyDescent="0.25">
      <c r="A2" s="728"/>
      <c r="B2" s="729"/>
      <c r="D2" s="730"/>
      <c r="E2" s="819"/>
      <c r="F2" s="279"/>
      <c r="G2" s="731"/>
      <c r="H2" s="732" t="s">
        <v>1</v>
      </c>
      <c r="I2" s="731"/>
      <c r="J2" s="732"/>
      <c r="K2" s="727" t="s">
        <v>1</v>
      </c>
      <c r="L2" s="609"/>
      <c r="M2" s="610"/>
      <c r="N2" s="609"/>
      <c r="O2" s="610"/>
      <c r="P2" s="585"/>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row>
    <row r="3" spans="1:48" s="596" customFormat="1" ht="45" x14ac:dyDescent="0.25">
      <c r="A3" s="1260" t="s">
        <v>5268</v>
      </c>
      <c r="B3" s="1362" t="s">
        <v>997</v>
      </c>
      <c r="C3" s="1364" t="s">
        <v>5309</v>
      </c>
      <c r="D3" s="1365"/>
      <c r="E3" s="1365"/>
      <c r="F3" s="1365"/>
      <c r="G3" s="1358" t="s">
        <v>5310</v>
      </c>
      <c r="H3" s="1358"/>
      <c r="I3" s="1358" t="s">
        <v>5311</v>
      </c>
      <c r="J3" s="1359"/>
      <c r="K3" s="599" t="s">
        <v>998</v>
      </c>
      <c r="L3" s="1358" t="s">
        <v>999</v>
      </c>
      <c r="M3" s="1358"/>
      <c r="N3" s="1358" t="s">
        <v>5312</v>
      </c>
      <c r="O3" s="1359"/>
      <c r="P3" s="1346" t="s">
        <v>1000</v>
      </c>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s="598" customFormat="1" ht="63" thickBot="1" x14ac:dyDescent="0.3">
      <c r="A4" s="1261"/>
      <c r="B4" s="1363"/>
      <c r="C4" s="613" t="s">
        <v>891</v>
      </c>
      <c r="D4" s="614" t="s">
        <v>1001</v>
      </c>
      <c r="E4" s="615" t="s">
        <v>3</v>
      </c>
      <c r="F4" s="616" t="s">
        <v>1002</v>
      </c>
      <c r="G4" s="608" t="s">
        <v>1003</v>
      </c>
      <c r="H4" s="1018" t="s">
        <v>11</v>
      </c>
      <c r="I4" s="608" t="s">
        <v>1003</v>
      </c>
      <c r="J4" s="1019" t="s">
        <v>11</v>
      </c>
      <c r="K4" s="613" t="s">
        <v>3</v>
      </c>
      <c r="L4" s="608" t="s">
        <v>1003</v>
      </c>
      <c r="M4" s="1018" t="s">
        <v>11</v>
      </c>
      <c r="N4" s="608" t="s">
        <v>1003</v>
      </c>
      <c r="O4" s="1019" t="s">
        <v>11</v>
      </c>
      <c r="P4" s="1348"/>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s="11" customFormat="1" thickTop="1" x14ac:dyDescent="0.25">
      <c r="A5" s="942" t="s">
        <v>5569</v>
      </c>
      <c r="B5" s="1020"/>
      <c r="C5" s="578"/>
      <c r="D5" s="578"/>
      <c r="E5" s="578"/>
      <c r="F5" s="946"/>
      <c r="G5" s="957"/>
      <c r="H5" s="1021"/>
      <c r="I5" s="1022"/>
      <c r="J5" s="558"/>
      <c r="K5" s="1023"/>
      <c r="L5" s="578"/>
      <c r="M5" s="578"/>
      <c r="N5" s="955"/>
      <c r="O5" s="579"/>
      <c r="P5" s="961"/>
      <c r="Q5" s="282"/>
      <c r="R5" s="567"/>
      <c r="S5" s="750"/>
      <c r="T5" s="751"/>
    </row>
    <row r="6" spans="1:48" s="586" customFormat="1" x14ac:dyDescent="0.25">
      <c r="A6" s="1352">
        <v>1</v>
      </c>
      <c r="B6" s="1360" t="s">
        <v>18</v>
      </c>
      <c r="C6" s="1350">
        <v>1</v>
      </c>
      <c r="D6" s="1352">
        <v>119427467</v>
      </c>
      <c r="E6" s="1352" t="s">
        <v>15</v>
      </c>
      <c r="F6" s="1354">
        <v>0.95699999999999996</v>
      </c>
      <c r="G6" s="1354">
        <v>-5.3024000000000002E-2</v>
      </c>
      <c r="H6" s="1356">
        <v>7.54E-8</v>
      </c>
      <c r="I6" s="1024">
        <v>-3.6773300000000002E-2</v>
      </c>
      <c r="J6" s="1025">
        <v>2.5595400000000002E-4</v>
      </c>
      <c r="K6" s="1026" t="s">
        <v>1004</v>
      </c>
      <c r="L6" s="1024">
        <v>3.7497500000000003E-2</v>
      </c>
      <c r="M6" s="1025">
        <v>1.7599999999999999E-19</v>
      </c>
      <c r="N6" s="1024">
        <v>3.4415099999999997E-2</v>
      </c>
      <c r="O6" s="1025">
        <v>4.6400000000000005E-16</v>
      </c>
      <c r="P6" s="1027" t="s">
        <v>1005</v>
      </c>
    </row>
    <row r="7" spans="1:48" ht="15" x14ac:dyDescent="0.25">
      <c r="A7" s="1352"/>
      <c r="B7" s="1360"/>
      <c r="C7" s="1350"/>
      <c r="D7" s="1352"/>
      <c r="E7" s="1352"/>
      <c r="F7" s="1354"/>
      <c r="G7" s="1354"/>
      <c r="H7" s="1356"/>
      <c r="I7" s="1024">
        <v>-4.7351900000000002E-2</v>
      </c>
      <c r="J7" s="1028">
        <v>2.04E-6</v>
      </c>
      <c r="K7" s="1026" t="s">
        <v>1006</v>
      </c>
      <c r="L7" s="1024">
        <v>-2.2201800000000001E-2</v>
      </c>
      <c r="M7" s="1025">
        <v>4.7099999999999998E-6</v>
      </c>
      <c r="N7" s="1024">
        <v>-1.87317E-2</v>
      </c>
      <c r="O7" s="1028">
        <v>1.3394399999999999E-4</v>
      </c>
      <c r="P7" s="1029" t="s">
        <v>1005</v>
      </c>
    </row>
    <row r="8" spans="1:48" ht="15" x14ac:dyDescent="0.25">
      <c r="A8" s="1352"/>
      <c r="B8" s="1360"/>
      <c r="C8" s="1350"/>
      <c r="D8" s="1352"/>
      <c r="E8" s="1352"/>
      <c r="F8" s="1354"/>
      <c r="G8" s="1354"/>
      <c r="H8" s="1356"/>
      <c r="I8" s="1024">
        <v>-5.0069599999999999E-2</v>
      </c>
      <c r="J8" s="1028">
        <v>4.2800000000000002E-7</v>
      </c>
      <c r="K8" s="1026" t="s">
        <v>1007</v>
      </c>
      <c r="L8" s="1024">
        <v>1.9685100000000001E-2</v>
      </c>
      <c r="M8" s="1025">
        <v>2.3827599999999999E-4</v>
      </c>
      <c r="N8" s="1024">
        <v>1.7136999999999999E-2</v>
      </c>
      <c r="O8" s="1028">
        <v>1.4466399999999999E-3</v>
      </c>
      <c r="P8" s="1029" t="s">
        <v>1005</v>
      </c>
    </row>
    <row r="9" spans="1:48" ht="15" x14ac:dyDescent="0.25">
      <c r="A9" s="1352"/>
      <c r="B9" s="1360"/>
      <c r="C9" s="1350"/>
      <c r="D9" s="1352"/>
      <c r="E9" s="1352"/>
      <c r="F9" s="1354"/>
      <c r="G9" s="1354"/>
      <c r="H9" s="1356"/>
      <c r="I9" s="1024">
        <v>-3.1261299999999999E-2</v>
      </c>
      <c r="J9" s="1028">
        <v>2.5560800000000001E-3</v>
      </c>
      <c r="K9" s="1026" t="s">
        <v>1008</v>
      </c>
      <c r="L9" s="1024">
        <v>3.8339100000000001E-2</v>
      </c>
      <c r="M9" s="1025">
        <v>4.2000000000000002E-16</v>
      </c>
      <c r="N9" s="1024">
        <v>3.3727E-2</v>
      </c>
      <c r="O9" s="1028">
        <v>1.0099999999999999E-11</v>
      </c>
      <c r="P9" s="1030" t="s">
        <v>1005</v>
      </c>
    </row>
    <row r="10" spans="1:48" ht="15" x14ac:dyDescent="0.25">
      <c r="A10" s="1352"/>
      <c r="B10" s="1360"/>
      <c r="C10" s="1350">
        <v>1</v>
      </c>
      <c r="D10" s="1352">
        <v>119469188</v>
      </c>
      <c r="E10" s="1352" t="s">
        <v>22</v>
      </c>
      <c r="F10" s="1354">
        <v>0.17399999999999999</v>
      </c>
      <c r="G10" s="1354">
        <v>1.9803399999999999E-2</v>
      </c>
      <c r="H10" s="1356">
        <v>2.1788299999999999E-4</v>
      </c>
      <c r="I10" s="1024">
        <v>1.79963E-2</v>
      </c>
      <c r="J10" s="1028">
        <v>7.8326299999999997E-4</v>
      </c>
      <c r="K10" s="1026" t="s">
        <v>1004</v>
      </c>
      <c r="L10" s="1024">
        <v>3.7497500000000003E-2</v>
      </c>
      <c r="M10" s="1025">
        <v>1.7599999999999999E-19</v>
      </c>
      <c r="N10" s="1024">
        <v>3.6968300000000003E-2</v>
      </c>
      <c r="O10" s="1028">
        <v>5.8900000000000001E-19</v>
      </c>
      <c r="P10" s="1030" t="s">
        <v>1005</v>
      </c>
    </row>
    <row r="11" spans="1:48" ht="15" x14ac:dyDescent="0.25">
      <c r="A11" s="1352"/>
      <c r="B11" s="1360"/>
      <c r="C11" s="1350"/>
      <c r="D11" s="1352"/>
      <c r="E11" s="1352"/>
      <c r="F11" s="1354"/>
      <c r="G11" s="1354"/>
      <c r="H11" s="1356"/>
      <c r="I11" s="1024">
        <v>2.1038600000000001E-2</v>
      </c>
      <c r="J11" s="1028">
        <v>8.7200000000000005E-5</v>
      </c>
      <c r="K11" s="1026" t="s">
        <v>1006</v>
      </c>
      <c r="L11" s="1024">
        <v>-2.2201800000000001E-2</v>
      </c>
      <c r="M11" s="1025">
        <v>4.7099999999999998E-6</v>
      </c>
      <c r="N11" s="1024">
        <v>-2.3123500000000002E-2</v>
      </c>
      <c r="O11" s="1028">
        <v>1.9199999999999998E-6</v>
      </c>
      <c r="P11" s="1030" t="s">
        <v>1005</v>
      </c>
    </row>
    <row r="12" spans="1:48" ht="15" x14ac:dyDescent="0.25">
      <c r="A12" s="1352"/>
      <c r="B12" s="1360"/>
      <c r="C12" s="1350"/>
      <c r="D12" s="1352"/>
      <c r="E12" s="1352"/>
      <c r="F12" s="1354"/>
      <c r="G12" s="1354"/>
      <c r="H12" s="1356"/>
      <c r="I12" s="1024">
        <v>5.7096500000000001E-2</v>
      </c>
      <c r="J12" s="1028">
        <v>0.58793600000000001</v>
      </c>
      <c r="K12" s="1026" t="s">
        <v>1007</v>
      </c>
      <c r="L12" s="1024">
        <v>1.9685100000000001E-2</v>
      </c>
      <c r="M12" s="1025">
        <v>2.3827599999999999E-4</v>
      </c>
      <c r="N12" s="1024">
        <v>-3.7330200000000001E-2</v>
      </c>
      <c r="O12" s="1028">
        <v>0.72319900000000004</v>
      </c>
      <c r="P12" s="1029" t="s">
        <v>1005</v>
      </c>
    </row>
    <row r="13" spans="1:48" ht="15" x14ac:dyDescent="0.25">
      <c r="A13" s="1353"/>
      <c r="B13" s="1361"/>
      <c r="C13" s="1351"/>
      <c r="D13" s="1353"/>
      <c r="E13" s="1353"/>
      <c r="F13" s="1355"/>
      <c r="G13" s="1355"/>
      <c r="H13" s="1357"/>
      <c r="I13" s="1031">
        <v>8.4160999999999993E-3</v>
      </c>
      <c r="J13" s="1032">
        <v>0.13089999999999999</v>
      </c>
      <c r="K13" s="1033" t="s">
        <v>1008</v>
      </c>
      <c r="L13" s="1031">
        <v>3.8339100000000001E-2</v>
      </c>
      <c r="M13" s="1034">
        <v>4.2000000000000002E-16</v>
      </c>
      <c r="N13" s="1031">
        <v>3.6293100000000002E-2</v>
      </c>
      <c r="O13" s="1032">
        <v>1.37E-13</v>
      </c>
      <c r="P13" s="1035" t="s">
        <v>1005</v>
      </c>
    </row>
    <row r="14" spans="1:48" ht="45" x14ac:dyDescent="0.25">
      <c r="A14" s="1036">
        <v>2</v>
      </c>
      <c r="B14" s="1037" t="s">
        <v>28</v>
      </c>
      <c r="C14" s="1038">
        <v>1</v>
      </c>
      <c r="D14" s="1036">
        <v>154987704</v>
      </c>
      <c r="E14" s="1036" t="s">
        <v>27</v>
      </c>
      <c r="F14" s="1039">
        <v>0.97619999999999996</v>
      </c>
      <c r="G14" s="1039">
        <v>-6.8880200000000003E-2</v>
      </c>
      <c r="H14" s="1040">
        <v>9.9099999999999991E-7</v>
      </c>
      <c r="I14" s="1039">
        <v>-5.1589099999999999E-2</v>
      </c>
      <c r="J14" s="1041">
        <v>3.8283700000000002E-4</v>
      </c>
      <c r="K14" s="1038" t="s">
        <v>30</v>
      </c>
      <c r="L14" s="1039">
        <v>-2.7351400000000001E-2</v>
      </c>
      <c r="M14" s="1040">
        <v>4.25E-9</v>
      </c>
      <c r="N14" s="1039">
        <v>-2.3131700000000002E-2</v>
      </c>
      <c r="O14" s="1041">
        <v>1.48E-6</v>
      </c>
      <c r="P14" s="1042" t="s">
        <v>1009</v>
      </c>
    </row>
    <row r="15" spans="1:48" s="126" customFormat="1" ht="15" x14ac:dyDescent="0.25">
      <c r="A15" s="1352">
        <v>3</v>
      </c>
      <c r="B15" s="1360" t="s">
        <v>38</v>
      </c>
      <c r="C15" s="1367">
        <v>2</v>
      </c>
      <c r="D15" s="1366">
        <v>165528624</v>
      </c>
      <c r="E15" s="1366" t="s">
        <v>37</v>
      </c>
      <c r="F15" s="1368">
        <v>0.87909999999999999</v>
      </c>
      <c r="G15" s="1368">
        <v>-2.9693000000000001E-2</v>
      </c>
      <c r="H15" s="1369">
        <v>3.0699999999999998E-6</v>
      </c>
      <c r="I15" s="1024">
        <v>-1.2592600000000001E-2</v>
      </c>
      <c r="J15" s="1028">
        <v>7.7121400000000007E-2</v>
      </c>
      <c r="K15" s="1026" t="s">
        <v>1010</v>
      </c>
      <c r="L15" s="1024">
        <v>-2.88781E-2</v>
      </c>
      <c r="M15" s="1025">
        <v>6.69E-12</v>
      </c>
      <c r="N15" s="1024">
        <v>-2.5132499999999999E-2</v>
      </c>
      <c r="O15" s="1028">
        <v>9.53E-8</v>
      </c>
      <c r="P15" s="1030" t="s">
        <v>1011</v>
      </c>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row>
    <row r="16" spans="1:48" ht="15" x14ac:dyDescent="0.25">
      <c r="A16" s="1352"/>
      <c r="B16" s="1360"/>
      <c r="C16" s="1350"/>
      <c r="D16" s="1352"/>
      <c r="E16" s="1352"/>
      <c r="F16" s="1354"/>
      <c r="G16" s="1354"/>
      <c r="H16" s="1356"/>
      <c r="I16" s="1024">
        <v>-1.19369E-2</v>
      </c>
      <c r="J16" s="1028">
        <v>9.1242199999999996E-2</v>
      </c>
      <c r="K16" s="1026" t="s">
        <v>1012</v>
      </c>
      <c r="L16" s="1024">
        <v>-3.0252000000000001E-2</v>
      </c>
      <c r="M16" s="1025">
        <v>5.0599999999999996E-13</v>
      </c>
      <c r="N16" s="1024">
        <v>-2.68299E-2</v>
      </c>
      <c r="O16" s="1028">
        <v>8.0600000000000007E-9</v>
      </c>
      <c r="P16" s="1030" t="s">
        <v>1011</v>
      </c>
    </row>
    <row r="17" spans="1:48" ht="15" x14ac:dyDescent="0.25">
      <c r="A17" s="1352"/>
      <c r="B17" s="1360"/>
      <c r="C17" s="1350"/>
      <c r="D17" s="1352"/>
      <c r="E17" s="1352"/>
      <c r="F17" s="1354"/>
      <c r="G17" s="1354"/>
      <c r="H17" s="1356"/>
      <c r="I17" s="1024">
        <v>-1.60334E-2</v>
      </c>
      <c r="J17" s="1028">
        <v>2.80772E-2</v>
      </c>
      <c r="K17" s="1026" t="s">
        <v>1013</v>
      </c>
      <c r="L17" s="1024">
        <v>-2.4235199999999998E-2</v>
      </c>
      <c r="M17" s="1025">
        <v>1.9799999999999999E-8</v>
      </c>
      <c r="N17" s="1024">
        <v>-1.8901399999999999E-2</v>
      </c>
      <c r="O17" s="1028">
        <v>1.3568099999999999E-4</v>
      </c>
      <c r="P17" s="1029" t="s">
        <v>1005</v>
      </c>
    </row>
    <row r="18" spans="1:48" ht="15" x14ac:dyDescent="0.25">
      <c r="A18" s="1352"/>
      <c r="B18" s="1360"/>
      <c r="C18" s="1350"/>
      <c r="D18" s="1352"/>
      <c r="E18" s="1352"/>
      <c r="F18" s="1354"/>
      <c r="G18" s="1354"/>
      <c r="H18" s="1356"/>
      <c r="I18" s="1024">
        <v>-1.54939E-2</v>
      </c>
      <c r="J18" s="1028">
        <v>6.5576700000000002E-2</v>
      </c>
      <c r="K18" s="1026" t="s">
        <v>1014</v>
      </c>
      <c r="L18" s="1024">
        <v>-2.4917499999999999E-2</v>
      </c>
      <c r="M18" s="1025">
        <v>5.6400000000000002E-7</v>
      </c>
      <c r="N18" s="1024">
        <v>-1.6982299999999999E-2</v>
      </c>
      <c r="O18" s="1028">
        <v>9.9188999999999996E-3</v>
      </c>
      <c r="P18" s="1029" t="s">
        <v>1011</v>
      </c>
    </row>
    <row r="19" spans="1:48" ht="15" x14ac:dyDescent="0.25">
      <c r="A19" s="1353"/>
      <c r="B19" s="1361"/>
      <c r="C19" s="1351"/>
      <c r="D19" s="1353"/>
      <c r="E19" s="1353"/>
      <c r="F19" s="1355"/>
      <c r="G19" s="1355"/>
      <c r="H19" s="1357"/>
      <c r="I19" s="1031">
        <v>-3.0956600000000001E-2</v>
      </c>
      <c r="J19" s="1032">
        <v>1.5200000000000001E-6</v>
      </c>
      <c r="K19" s="1033" t="s">
        <v>1015</v>
      </c>
      <c r="L19" s="1031">
        <v>-3.3517E-3</v>
      </c>
      <c r="M19" s="1034">
        <v>0.55996500000000005</v>
      </c>
      <c r="N19" s="1031">
        <v>-7.5706699999999998E-3</v>
      </c>
      <c r="O19" s="1032">
        <v>0.19302800000000001</v>
      </c>
      <c r="P19" s="1043" t="s">
        <v>1005</v>
      </c>
    </row>
    <row r="20" spans="1:48" ht="15" x14ac:dyDescent="0.25">
      <c r="A20" s="1044">
        <v>4</v>
      </c>
      <c r="B20" s="1045" t="s">
        <v>43</v>
      </c>
      <c r="C20" s="1033">
        <v>2</v>
      </c>
      <c r="D20" s="1044">
        <v>188343497</v>
      </c>
      <c r="E20" s="1044" t="s">
        <v>42</v>
      </c>
      <c r="F20" s="1031">
        <v>0.69699999999999995</v>
      </c>
      <c r="G20" s="1031">
        <v>-2.3763599999999999E-2</v>
      </c>
      <c r="H20" s="1034">
        <v>1.4999999999999999E-7</v>
      </c>
      <c r="I20" s="1031">
        <v>-7.2424799999999999E-3</v>
      </c>
      <c r="J20" s="1032">
        <v>0.244591</v>
      </c>
      <c r="K20" s="1033" t="s">
        <v>45</v>
      </c>
      <c r="L20" s="1031">
        <v>-2.6561700000000001E-2</v>
      </c>
      <c r="M20" s="1034">
        <v>1.4000000000000001E-10</v>
      </c>
      <c r="N20" s="1031">
        <v>-2.2008799999999999E-2</v>
      </c>
      <c r="O20" s="1032">
        <v>1.11604E-4</v>
      </c>
      <c r="P20" s="1043" t="s">
        <v>1011</v>
      </c>
    </row>
    <row r="21" spans="1:48" ht="15" x14ac:dyDescent="0.25">
      <c r="A21" s="1352">
        <v>5</v>
      </c>
      <c r="B21" s="902" t="s">
        <v>915</v>
      </c>
      <c r="C21" s="1026">
        <v>3</v>
      </c>
      <c r="D21" s="1046">
        <v>52558008</v>
      </c>
      <c r="E21" s="1046" t="s">
        <v>51</v>
      </c>
      <c r="F21" s="1024">
        <v>0.44540000000000002</v>
      </c>
      <c r="G21" s="1024">
        <v>-2.1164200000000001E-2</v>
      </c>
      <c r="H21" s="1025">
        <v>3.1899999999999998E-7</v>
      </c>
      <c r="I21" s="1024">
        <v>-8.2870900000000004E-3</v>
      </c>
      <c r="J21" s="1028">
        <v>0.19207099999999999</v>
      </c>
      <c r="K21" s="1367" t="s">
        <v>53</v>
      </c>
      <c r="L21" s="1368">
        <v>-2.3258000000000001E-2</v>
      </c>
      <c r="M21" s="1369">
        <v>1.92E-8</v>
      </c>
      <c r="N21" s="1024">
        <v>-1.6972899999999999E-2</v>
      </c>
      <c r="O21" s="1028">
        <v>7.5361400000000002E-3</v>
      </c>
      <c r="P21" s="1029" t="s">
        <v>1011</v>
      </c>
    </row>
    <row r="22" spans="1:48" ht="15" x14ac:dyDescent="0.25">
      <c r="A22" s="1353"/>
      <c r="B22" s="1045" t="s">
        <v>916</v>
      </c>
      <c r="C22" s="1033">
        <v>3</v>
      </c>
      <c r="D22" s="1044">
        <v>52833805</v>
      </c>
      <c r="E22" s="1044" t="s">
        <v>55</v>
      </c>
      <c r="F22" s="1031">
        <v>0.54069999999999996</v>
      </c>
      <c r="G22" s="1031">
        <v>-1.8798499999999999E-2</v>
      </c>
      <c r="H22" s="1034">
        <v>5.48E-6</v>
      </c>
      <c r="I22" s="1031">
        <v>-1.1035800000000001E-3</v>
      </c>
      <c r="J22" s="1032">
        <v>0.87036800000000003</v>
      </c>
      <c r="K22" s="1351"/>
      <c r="L22" s="1355"/>
      <c r="M22" s="1357"/>
      <c r="N22" s="1031">
        <v>-2.2383400000000001E-2</v>
      </c>
      <c r="O22" s="1032">
        <v>9.4377199999999995E-4</v>
      </c>
      <c r="P22" s="1043" t="s">
        <v>1011</v>
      </c>
    </row>
    <row r="23" spans="1:48" ht="45" x14ac:dyDescent="0.25">
      <c r="A23" s="1366">
        <v>6</v>
      </c>
      <c r="B23" s="903" t="s">
        <v>917</v>
      </c>
      <c r="C23" s="1047">
        <v>3</v>
      </c>
      <c r="D23" s="1048">
        <v>129137188</v>
      </c>
      <c r="E23" s="1048" t="s">
        <v>58</v>
      </c>
      <c r="F23" s="1049">
        <v>0.93610000000000004</v>
      </c>
      <c r="G23" s="1049">
        <v>-4.1124000000000001E-2</v>
      </c>
      <c r="H23" s="1050">
        <v>2.7099999999999998E-7</v>
      </c>
      <c r="I23" s="1049">
        <v>-2.0357699999999999E-2</v>
      </c>
      <c r="J23" s="1051">
        <v>2.2409100000000001E-2</v>
      </c>
      <c r="K23" s="1367" t="s">
        <v>60</v>
      </c>
      <c r="L23" s="1368">
        <v>3.5120199999999997E-2</v>
      </c>
      <c r="M23" s="1369">
        <v>2.6200000000000001E-12</v>
      </c>
      <c r="N23" s="1049">
        <v>2.9468299999999999E-2</v>
      </c>
      <c r="O23" s="1051">
        <v>1.4000000000000001E-7</v>
      </c>
      <c r="P23" s="1052" t="s">
        <v>1009</v>
      </c>
    </row>
    <row r="24" spans="1:48" ht="15" x14ac:dyDescent="0.25">
      <c r="A24" s="1352"/>
      <c r="B24" s="1370" t="s">
        <v>216</v>
      </c>
      <c r="C24" s="1026">
        <v>3</v>
      </c>
      <c r="D24" s="1046">
        <v>129284818</v>
      </c>
      <c r="E24" s="1046" t="s">
        <v>62</v>
      </c>
      <c r="F24" s="1024">
        <v>0.73280000000000001</v>
      </c>
      <c r="G24" s="1024">
        <v>-2.28165E-2</v>
      </c>
      <c r="H24" s="1025">
        <v>5.3799999999999997E-7</v>
      </c>
      <c r="I24" s="1024">
        <v>-4.8061600000000003E-3</v>
      </c>
      <c r="J24" s="1028">
        <v>0.40943600000000002</v>
      </c>
      <c r="K24" s="1350"/>
      <c r="L24" s="1354"/>
      <c r="M24" s="1356"/>
      <c r="N24" s="1024">
        <v>3.1811800000000001E-2</v>
      </c>
      <c r="O24" s="1028">
        <v>7.3799999999999996E-7</v>
      </c>
      <c r="P24" s="1030" t="s">
        <v>1011</v>
      </c>
    </row>
    <row r="25" spans="1:48" ht="45" x14ac:dyDescent="0.25">
      <c r="A25" s="1353"/>
      <c r="B25" s="1371"/>
      <c r="C25" s="1033">
        <v>3</v>
      </c>
      <c r="D25" s="1044">
        <v>129293256</v>
      </c>
      <c r="E25" s="1044" t="s">
        <v>215</v>
      </c>
      <c r="F25" s="1031">
        <v>0.61980000000000002</v>
      </c>
      <c r="G25" s="1031">
        <v>-1.42959E-2</v>
      </c>
      <c r="H25" s="1034">
        <v>7.1726799999999996E-4</v>
      </c>
      <c r="I25" s="1031">
        <v>1.9109400000000001E-3</v>
      </c>
      <c r="J25" s="1032">
        <v>0.70133100000000004</v>
      </c>
      <c r="K25" s="1351"/>
      <c r="L25" s="1355"/>
      <c r="M25" s="1357"/>
      <c r="N25" s="1031">
        <v>3.6323500000000002E-2</v>
      </c>
      <c r="O25" s="1032">
        <v>8.4299999999999998E-10</v>
      </c>
      <c r="P25" s="1053" t="s">
        <v>1009</v>
      </c>
    </row>
    <row r="26" spans="1:48" ht="15" x14ac:dyDescent="0.25">
      <c r="A26" s="1352">
        <v>7</v>
      </c>
      <c r="B26" s="902" t="s">
        <v>918</v>
      </c>
      <c r="C26" s="1026">
        <v>4</v>
      </c>
      <c r="D26" s="1046">
        <v>89625427</v>
      </c>
      <c r="E26" s="1046" t="s">
        <v>65</v>
      </c>
      <c r="F26" s="1024">
        <v>0.83809999999999996</v>
      </c>
      <c r="G26" s="1024">
        <v>-2.5267000000000001E-2</v>
      </c>
      <c r="H26" s="1025">
        <v>5.9000000000000003E-6</v>
      </c>
      <c r="I26" s="1024">
        <v>-1.1857700000000001E-2</v>
      </c>
      <c r="J26" s="1028">
        <v>4.4814899999999998E-2</v>
      </c>
      <c r="K26" s="1367" t="s">
        <v>67</v>
      </c>
      <c r="L26" s="1368">
        <v>3.2989499999999998E-2</v>
      </c>
      <c r="M26" s="1369">
        <v>1.6800000000000001E-15</v>
      </c>
      <c r="N26" s="1024">
        <v>3.0071799999999999E-2</v>
      </c>
      <c r="O26" s="1028">
        <v>7.4300000000000005E-12</v>
      </c>
      <c r="P26" s="1030" t="s">
        <v>1011</v>
      </c>
    </row>
    <row r="27" spans="1:48" ht="45" x14ac:dyDescent="0.25">
      <c r="A27" s="1353"/>
      <c r="B27" s="1045" t="s">
        <v>919</v>
      </c>
      <c r="C27" s="1033">
        <v>4</v>
      </c>
      <c r="D27" s="1044">
        <v>89668859</v>
      </c>
      <c r="E27" s="1044" t="s">
        <v>69</v>
      </c>
      <c r="F27" s="1031">
        <v>0.81530000000000002</v>
      </c>
      <c r="G27" s="1031">
        <v>-2.06135E-2</v>
      </c>
      <c r="H27" s="1034">
        <v>1.3515900000000001E-4</v>
      </c>
      <c r="I27" s="1031">
        <v>-1.03461E-2</v>
      </c>
      <c r="J27" s="1032">
        <v>6.3858899999999996E-2</v>
      </c>
      <c r="K27" s="1351"/>
      <c r="L27" s="1355"/>
      <c r="M27" s="1357"/>
      <c r="N27" s="1031">
        <v>3.09707E-2</v>
      </c>
      <c r="O27" s="1032">
        <v>4.8299999999999996E-13</v>
      </c>
      <c r="P27" s="1035" t="s">
        <v>1009</v>
      </c>
    </row>
    <row r="28" spans="1:48" ht="15" x14ac:dyDescent="0.25">
      <c r="A28" s="1044">
        <v>8</v>
      </c>
      <c r="B28" s="1045" t="s">
        <v>77</v>
      </c>
      <c r="C28" s="1033">
        <v>5</v>
      </c>
      <c r="D28" s="1044">
        <v>176516631</v>
      </c>
      <c r="E28" s="1044" t="s">
        <v>76</v>
      </c>
      <c r="F28" s="1031">
        <v>0.23599999999999999</v>
      </c>
      <c r="G28" s="1031">
        <v>2.7069200000000002E-2</v>
      </c>
      <c r="H28" s="1034">
        <v>1.31E-8</v>
      </c>
      <c r="I28" s="1031">
        <v>1.2533600000000001E-2</v>
      </c>
      <c r="J28" s="1032">
        <v>4.9221000000000001E-2</v>
      </c>
      <c r="K28" s="1033" t="s">
        <v>79</v>
      </c>
      <c r="L28" s="1031">
        <v>2.72102E-2</v>
      </c>
      <c r="M28" s="1034">
        <v>2.26E-10</v>
      </c>
      <c r="N28" s="1031">
        <v>1.9703700000000001E-2</v>
      </c>
      <c r="O28" s="1032">
        <v>6.0075299999999999E-4</v>
      </c>
      <c r="P28" s="1043" t="s">
        <v>1011</v>
      </c>
    </row>
    <row r="29" spans="1:48" ht="15" x14ac:dyDescent="0.25">
      <c r="A29" s="1044">
        <v>9</v>
      </c>
      <c r="B29" s="1045" t="s">
        <v>82</v>
      </c>
      <c r="C29" s="1033">
        <v>6</v>
      </c>
      <c r="D29" s="1044">
        <v>7211818</v>
      </c>
      <c r="E29" s="1044" t="s">
        <v>81</v>
      </c>
      <c r="F29" s="1031">
        <v>0.56489999999999996</v>
      </c>
      <c r="G29" s="1031">
        <v>-2.45492E-2</v>
      </c>
      <c r="H29" s="1034">
        <v>3.6E-9</v>
      </c>
      <c r="I29" s="1031">
        <v>-2.3691400000000001E-2</v>
      </c>
      <c r="J29" s="1032">
        <v>1.24E-8</v>
      </c>
      <c r="K29" s="1033" t="s">
        <v>84</v>
      </c>
      <c r="L29" s="1031">
        <v>2.8882100000000001E-2</v>
      </c>
      <c r="M29" s="1034">
        <v>1.1700000000000001E-11</v>
      </c>
      <c r="N29" s="1031">
        <v>2.81251E-2</v>
      </c>
      <c r="O29" s="1032">
        <v>4.0200000000000001E-11</v>
      </c>
      <c r="P29" s="1054" t="s">
        <v>1016</v>
      </c>
    </row>
    <row r="30" spans="1:48" s="57" customFormat="1" x14ac:dyDescent="0.25">
      <c r="A30" s="1036">
        <v>10</v>
      </c>
      <c r="B30" s="1037" t="s">
        <v>91</v>
      </c>
      <c r="C30" s="1038">
        <v>6</v>
      </c>
      <c r="D30" s="1036">
        <v>34827085</v>
      </c>
      <c r="E30" s="1036" t="s">
        <v>90</v>
      </c>
      <c r="F30" s="1039">
        <v>0.84709999999999996</v>
      </c>
      <c r="G30" s="1039">
        <v>-1.8973199999999999E-2</v>
      </c>
      <c r="H30" s="1040">
        <v>6.5448600000000002E-4</v>
      </c>
      <c r="I30" s="1039">
        <v>-2.0958600000000001E-2</v>
      </c>
      <c r="J30" s="1041">
        <v>1.705E-4</v>
      </c>
      <c r="K30" s="1038" t="s">
        <v>93</v>
      </c>
      <c r="L30" s="1039">
        <v>-4.41065E-2</v>
      </c>
      <c r="M30" s="1040">
        <v>1.1599999999999999E-9</v>
      </c>
      <c r="N30" s="1039">
        <v>-4.5651499999999998E-2</v>
      </c>
      <c r="O30" s="1041">
        <v>3.1999999999999998E-10</v>
      </c>
      <c r="P30" s="1042" t="s">
        <v>1005</v>
      </c>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row>
    <row r="31" spans="1:48" ht="15" x14ac:dyDescent="0.25">
      <c r="A31" s="1366">
        <v>11</v>
      </c>
      <c r="B31" s="1379" t="s">
        <v>923</v>
      </c>
      <c r="C31" s="1367">
        <v>6</v>
      </c>
      <c r="D31" s="1366">
        <v>127476516</v>
      </c>
      <c r="E31" s="1366" t="s">
        <v>95</v>
      </c>
      <c r="F31" s="1368">
        <v>0.54290000000000005</v>
      </c>
      <c r="G31" s="1368">
        <v>4.0182000000000002E-2</v>
      </c>
      <c r="H31" s="1369">
        <v>3.0799999999999998E-22</v>
      </c>
      <c r="I31" s="1049">
        <v>5.2091899999999997E-2</v>
      </c>
      <c r="J31" s="1051">
        <v>1.7599999999999999E-26</v>
      </c>
      <c r="K31" s="1047" t="s">
        <v>1017</v>
      </c>
      <c r="L31" s="1049">
        <v>5.9820899999999998E-3</v>
      </c>
      <c r="M31" s="1050">
        <v>0.20185900000000001</v>
      </c>
      <c r="N31" s="1049">
        <v>-2.53385E-2</v>
      </c>
      <c r="O31" s="1051">
        <v>4.6299999999999997E-6</v>
      </c>
      <c r="P31" s="1052" t="s">
        <v>1018</v>
      </c>
    </row>
    <row r="32" spans="1:48" ht="45" x14ac:dyDescent="0.25">
      <c r="A32" s="1352"/>
      <c r="B32" s="1360"/>
      <c r="C32" s="1350"/>
      <c r="D32" s="1352"/>
      <c r="E32" s="1352"/>
      <c r="F32" s="1354"/>
      <c r="G32" s="1354"/>
      <c r="H32" s="1356"/>
      <c r="I32" s="1024">
        <v>2.58064E-2</v>
      </c>
      <c r="J32" s="1028">
        <v>1.09E-9</v>
      </c>
      <c r="K32" s="1026" t="s">
        <v>1019</v>
      </c>
      <c r="L32" s="1024">
        <v>0.16772599999999999</v>
      </c>
      <c r="M32" s="1025">
        <v>1.94E-70</v>
      </c>
      <c r="N32" s="1024">
        <v>0.155279</v>
      </c>
      <c r="O32" s="1028">
        <v>4.8499999999999999E-58</v>
      </c>
      <c r="P32" s="1030" t="s">
        <v>1020</v>
      </c>
    </row>
    <row r="33" spans="1:48" s="126" customFormat="1" ht="15" x14ac:dyDescent="0.25">
      <c r="A33" s="1352"/>
      <c r="B33" s="1360"/>
      <c r="C33" s="1350"/>
      <c r="D33" s="1352"/>
      <c r="E33" s="1352"/>
      <c r="F33" s="1354"/>
      <c r="G33" s="1354"/>
      <c r="H33" s="1356"/>
      <c r="I33" s="1024">
        <v>1.30869E-2</v>
      </c>
      <c r="J33" s="1028">
        <v>0.21790599999999999</v>
      </c>
      <c r="K33" s="1026" t="s">
        <v>1021</v>
      </c>
      <c r="L33" s="1024">
        <v>4.1305599999999998E-2</v>
      </c>
      <c r="M33" s="1025">
        <v>1.37E-23</v>
      </c>
      <c r="N33" s="1024">
        <v>2.9304299999999998E-2</v>
      </c>
      <c r="O33" s="1028">
        <v>5.6005600000000001E-3</v>
      </c>
      <c r="P33" s="1029" t="s">
        <v>1011</v>
      </c>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row>
    <row r="34" spans="1:48" ht="45" x14ac:dyDescent="0.25">
      <c r="A34" s="1352"/>
      <c r="B34" s="1360" t="s">
        <v>924</v>
      </c>
      <c r="C34" s="1373">
        <v>6</v>
      </c>
      <c r="D34" s="1360">
        <v>127767954</v>
      </c>
      <c r="E34" s="1360" t="s">
        <v>99</v>
      </c>
      <c r="F34" s="1375">
        <v>9.7000000000000003E-3</v>
      </c>
      <c r="G34" s="1375">
        <v>0.10134</v>
      </c>
      <c r="H34" s="1377">
        <v>1.8199999999999999E-7</v>
      </c>
      <c r="I34" s="1024">
        <v>8.6637699999999998E-2</v>
      </c>
      <c r="J34" s="1028">
        <v>8.67E-6</v>
      </c>
      <c r="K34" s="1026" t="s">
        <v>1021</v>
      </c>
      <c r="L34" s="1024">
        <v>4.1305599999999998E-2</v>
      </c>
      <c r="M34" s="1025">
        <v>1.37E-23</v>
      </c>
      <c r="N34" s="1024">
        <v>3.9863500000000003E-2</v>
      </c>
      <c r="O34" s="1028">
        <v>5.8600000000000004E-22</v>
      </c>
      <c r="P34" s="1030" t="s">
        <v>1020</v>
      </c>
    </row>
    <row r="35" spans="1:48" s="126" customFormat="1" ht="45" x14ac:dyDescent="0.25">
      <c r="A35" s="1352"/>
      <c r="B35" s="1360"/>
      <c r="C35" s="1373"/>
      <c r="D35" s="1360"/>
      <c r="E35" s="1360"/>
      <c r="F35" s="1375"/>
      <c r="G35" s="1375"/>
      <c r="H35" s="1377"/>
      <c r="I35" s="1024">
        <v>0.102793</v>
      </c>
      <c r="J35" s="1028">
        <v>1.2599999999999999E-7</v>
      </c>
      <c r="K35" s="1055" t="s">
        <v>1017</v>
      </c>
      <c r="L35" s="1024">
        <v>5.9820899999999998E-3</v>
      </c>
      <c r="M35" s="1025">
        <v>0.20185900000000001</v>
      </c>
      <c r="N35" s="1024">
        <v>7.19149E-3</v>
      </c>
      <c r="O35" s="1028">
        <v>0.125363</v>
      </c>
      <c r="P35" s="1030" t="s">
        <v>1020</v>
      </c>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row>
    <row r="36" spans="1:48" ht="15" x14ac:dyDescent="0.25">
      <c r="A36" s="1353"/>
      <c r="B36" s="1361"/>
      <c r="C36" s="1374"/>
      <c r="D36" s="1361"/>
      <c r="E36" s="1361"/>
      <c r="F36" s="1376"/>
      <c r="G36" s="1376"/>
      <c r="H36" s="1378"/>
      <c r="I36" s="1031">
        <v>-2.3834399999999999E-2</v>
      </c>
      <c r="J36" s="1032">
        <v>0.25070999999999999</v>
      </c>
      <c r="K36" s="1056" t="s">
        <v>1019</v>
      </c>
      <c r="L36" s="1031">
        <v>0.16772599999999999</v>
      </c>
      <c r="M36" s="1034">
        <v>1.94E-70</v>
      </c>
      <c r="N36" s="1031">
        <v>0.17184199999999999</v>
      </c>
      <c r="O36" s="1032">
        <v>8.4899999999999996E-65</v>
      </c>
      <c r="P36" s="1035" t="s">
        <v>1011</v>
      </c>
    </row>
    <row r="37" spans="1:48" ht="15" x14ac:dyDescent="0.25">
      <c r="A37" s="1366">
        <v>12</v>
      </c>
      <c r="B37" s="1372" t="s">
        <v>107</v>
      </c>
      <c r="C37" s="1367">
        <v>7</v>
      </c>
      <c r="D37" s="1048">
        <v>73012042</v>
      </c>
      <c r="E37" s="1048" t="s">
        <v>106</v>
      </c>
      <c r="F37" s="1049">
        <v>0.87970000000000004</v>
      </c>
      <c r="G37" s="1049">
        <v>-1.7714299999999999E-2</v>
      </c>
      <c r="H37" s="1050">
        <v>3.9266500000000003E-3</v>
      </c>
      <c r="I37" s="1049">
        <v>1.13299E-3</v>
      </c>
      <c r="J37" s="1051">
        <v>0.90145900000000001</v>
      </c>
      <c r="K37" s="1367" t="s">
        <v>109</v>
      </c>
      <c r="L37" s="1368">
        <v>-2.06918E-2</v>
      </c>
      <c r="M37" s="1369">
        <v>6.2574099999999994E-5</v>
      </c>
      <c r="N37" s="1049">
        <v>-2.13986E-2</v>
      </c>
      <c r="O37" s="1051">
        <v>5.4583799999999997E-3</v>
      </c>
      <c r="P37" s="1057" t="s">
        <v>1005</v>
      </c>
    </row>
    <row r="38" spans="1:48" ht="15" x14ac:dyDescent="0.25">
      <c r="A38" s="1353"/>
      <c r="B38" s="1371"/>
      <c r="C38" s="1351"/>
      <c r="D38" s="1044">
        <v>73020337</v>
      </c>
      <c r="E38" s="1044" t="s">
        <v>111</v>
      </c>
      <c r="F38" s="1031">
        <v>0.88119999999999998</v>
      </c>
      <c r="G38" s="1031">
        <v>-1.7141400000000001E-2</v>
      </c>
      <c r="H38" s="1034">
        <v>5.18784E-3</v>
      </c>
      <c r="I38" s="1031">
        <v>1.9554500000000001E-3</v>
      </c>
      <c r="J38" s="1032">
        <v>0.82879599999999998</v>
      </c>
      <c r="K38" s="1351"/>
      <c r="L38" s="1355"/>
      <c r="M38" s="1357"/>
      <c r="N38" s="1031">
        <v>-2.1903200000000001E-2</v>
      </c>
      <c r="O38" s="1032">
        <v>4.0594400000000001E-3</v>
      </c>
      <c r="P38" s="1043" t="s">
        <v>1005</v>
      </c>
    </row>
    <row r="39" spans="1:48" s="126" customFormat="1" ht="15" x14ac:dyDescent="0.25">
      <c r="A39" s="1036">
        <v>13</v>
      </c>
      <c r="B39" s="1037" t="s">
        <v>115</v>
      </c>
      <c r="C39" s="1038">
        <v>10</v>
      </c>
      <c r="D39" s="1036">
        <v>95931087</v>
      </c>
      <c r="E39" s="1036" t="s">
        <v>114</v>
      </c>
      <c r="F39" s="1039">
        <v>0.17299999999999999</v>
      </c>
      <c r="G39" s="1039">
        <v>2.0341600000000001E-2</v>
      </c>
      <c r="H39" s="1040">
        <v>2.05007E-4</v>
      </c>
      <c r="I39" s="1039">
        <v>1.6360900000000001E-2</v>
      </c>
      <c r="J39" s="1041">
        <v>6.1053699999999997E-3</v>
      </c>
      <c r="K39" s="1038" t="s">
        <v>117</v>
      </c>
      <c r="L39" s="1039">
        <v>-1.2481799999999999E-2</v>
      </c>
      <c r="M39" s="1040">
        <v>2.5521300000000001E-3</v>
      </c>
      <c r="N39" s="1039">
        <v>-7.5888500000000003E-3</v>
      </c>
      <c r="O39" s="1041">
        <v>9.2100000000000001E-2</v>
      </c>
      <c r="P39" s="1058" t="s">
        <v>1005</v>
      </c>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row>
    <row r="40" spans="1:48" ht="15" x14ac:dyDescent="0.25">
      <c r="A40" s="1044">
        <v>14</v>
      </c>
      <c r="B40" s="1045" t="s">
        <v>123</v>
      </c>
      <c r="C40" s="1033">
        <v>11</v>
      </c>
      <c r="D40" s="1044">
        <v>64031241</v>
      </c>
      <c r="E40" s="1044" t="s">
        <v>122</v>
      </c>
      <c r="F40" s="1031">
        <v>6.08E-2</v>
      </c>
      <c r="G40" s="1031">
        <v>4.6441099999999999E-2</v>
      </c>
      <c r="H40" s="1034">
        <v>3.7E-8</v>
      </c>
      <c r="I40" s="1031">
        <v>3.53493E-2</v>
      </c>
      <c r="J40" s="1032">
        <v>2.18286E-3</v>
      </c>
      <c r="K40" s="1033" t="s">
        <v>125</v>
      </c>
      <c r="L40" s="1031">
        <v>4.3663300000000002E-2</v>
      </c>
      <c r="M40" s="1034">
        <v>1.7099999999999999E-6</v>
      </c>
      <c r="N40" s="1031">
        <v>1.75879E-2</v>
      </c>
      <c r="O40" s="1032">
        <v>0.158639</v>
      </c>
      <c r="P40" s="1043" t="s">
        <v>1011</v>
      </c>
    </row>
    <row r="41" spans="1:48" ht="15" x14ac:dyDescent="0.25">
      <c r="A41" s="1360">
        <v>15</v>
      </c>
      <c r="B41" s="1360" t="s">
        <v>939</v>
      </c>
      <c r="C41" s="1367">
        <v>12</v>
      </c>
      <c r="D41" s="1366">
        <v>123444507</v>
      </c>
      <c r="E41" s="1366" t="s">
        <v>139</v>
      </c>
      <c r="F41" s="1368">
        <v>0.98699999999999999</v>
      </c>
      <c r="G41" s="1368">
        <v>-5.10339E-2</v>
      </c>
      <c r="H41" s="1369">
        <v>2.7604600000000002E-3</v>
      </c>
      <c r="I41" s="1024">
        <v>-4.0394199999999998E-2</v>
      </c>
      <c r="J41" s="1028">
        <v>1.8080300000000001E-2</v>
      </c>
      <c r="K41" s="1026" t="s">
        <v>1022</v>
      </c>
      <c r="L41" s="1024">
        <v>-3.8966800000000003E-2</v>
      </c>
      <c r="M41" s="1025">
        <v>3.61E-19</v>
      </c>
      <c r="N41" s="1024">
        <v>-3.8233299999999998E-2</v>
      </c>
      <c r="O41" s="1028">
        <v>1.9899999999999998E-18</v>
      </c>
      <c r="P41" s="1030" t="s">
        <v>1005</v>
      </c>
    </row>
    <row r="42" spans="1:48" ht="15" x14ac:dyDescent="0.25">
      <c r="A42" s="1360"/>
      <c r="B42" s="1360"/>
      <c r="C42" s="1350"/>
      <c r="D42" s="1352"/>
      <c r="E42" s="1352"/>
      <c r="F42" s="1354"/>
      <c r="G42" s="1354"/>
      <c r="H42" s="1356"/>
      <c r="I42" s="1024">
        <v>-4.3706500000000002E-2</v>
      </c>
      <c r="J42" s="1028">
        <v>1.04207E-2</v>
      </c>
      <c r="K42" s="1026" t="s">
        <v>1023</v>
      </c>
      <c r="L42" s="1024">
        <v>3.91747E-2</v>
      </c>
      <c r="M42" s="1025">
        <v>1.6999999999999999E-20</v>
      </c>
      <c r="N42" s="1024">
        <v>3.8666699999999998E-2</v>
      </c>
      <c r="O42" s="1028">
        <v>5.7199999999999997E-20</v>
      </c>
      <c r="P42" s="1030" t="s">
        <v>1005</v>
      </c>
    </row>
    <row r="43" spans="1:48" s="126" customFormat="1" ht="45" x14ac:dyDescent="0.25">
      <c r="A43" s="1360"/>
      <c r="B43" s="1360" t="s">
        <v>940</v>
      </c>
      <c r="C43" s="1350">
        <v>12</v>
      </c>
      <c r="D43" s="1352">
        <v>124265687</v>
      </c>
      <c r="E43" s="1352" t="s">
        <v>143</v>
      </c>
      <c r="F43" s="1354">
        <v>0.37319999999999998</v>
      </c>
      <c r="G43" s="1354">
        <v>-1.45238E-2</v>
      </c>
      <c r="H43" s="1356">
        <v>5.6874099999999999E-4</v>
      </c>
      <c r="I43" s="1024">
        <v>-2.4158199999999999E-3</v>
      </c>
      <c r="J43" s="1028">
        <v>0.58804800000000002</v>
      </c>
      <c r="K43" s="1026" t="s">
        <v>1022</v>
      </c>
      <c r="L43" s="1024">
        <v>-3.8966800000000003E-2</v>
      </c>
      <c r="M43" s="1025">
        <v>3.61E-19</v>
      </c>
      <c r="N43" s="1024">
        <v>-3.8148000000000001E-2</v>
      </c>
      <c r="O43" s="1028">
        <v>1.2699999999999999E-16</v>
      </c>
      <c r="P43" s="1030" t="s">
        <v>1009</v>
      </c>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row>
    <row r="44" spans="1:48" ht="45" x14ac:dyDescent="0.25">
      <c r="A44" s="1360"/>
      <c r="B44" s="1360"/>
      <c r="C44" s="1350"/>
      <c r="D44" s="1352"/>
      <c r="E44" s="1352"/>
      <c r="F44" s="1354"/>
      <c r="G44" s="1354"/>
      <c r="H44" s="1356"/>
      <c r="I44" s="1024">
        <v>-6.5443200000000002E-3</v>
      </c>
      <c r="J44" s="1028">
        <v>0.12897500000000001</v>
      </c>
      <c r="K44" s="1026" t="s">
        <v>1023</v>
      </c>
      <c r="L44" s="1024">
        <v>3.91747E-2</v>
      </c>
      <c r="M44" s="1025">
        <v>1.6999999999999999E-20</v>
      </c>
      <c r="N44" s="1024">
        <v>3.77877E-2</v>
      </c>
      <c r="O44" s="1028">
        <v>2.1600000000000001E-18</v>
      </c>
      <c r="P44" s="1030" t="s">
        <v>1009</v>
      </c>
    </row>
    <row r="45" spans="1:48" ht="15" x14ac:dyDescent="0.25">
      <c r="A45" s="1360"/>
      <c r="B45" s="1360"/>
      <c r="C45" s="1350">
        <v>12</v>
      </c>
      <c r="D45" s="1352">
        <v>124330311</v>
      </c>
      <c r="E45" s="1352" t="s">
        <v>146</v>
      </c>
      <c r="F45" s="1354">
        <v>0.88929999999999998</v>
      </c>
      <c r="G45" s="1354">
        <v>-2.9871999999999999E-2</v>
      </c>
      <c r="H45" s="1356">
        <v>1.86E-6</v>
      </c>
      <c r="I45" s="1024">
        <v>-9.70064E-3</v>
      </c>
      <c r="J45" s="1028">
        <v>0.15301000000000001</v>
      </c>
      <c r="K45" s="1026" t="s">
        <v>1022</v>
      </c>
      <c r="L45" s="1024">
        <v>-3.8966800000000003E-2</v>
      </c>
      <c r="M45" s="1025">
        <v>3.61E-19</v>
      </c>
      <c r="N45" s="1024">
        <v>-3.6367099999999999E-2</v>
      </c>
      <c r="O45" s="1028">
        <v>1.3E-14</v>
      </c>
      <c r="P45" s="1030" t="s">
        <v>1011</v>
      </c>
    </row>
    <row r="46" spans="1:48" ht="45" x14ac:dyDescent="0.25">
      <c r="A46" s="1360"/>
      <c r="B46" s="1360"/>
      <c r="C46" s="1350"/>
      <c r="D46" s="1352"/>
      <c r="E46" s="1352"/>
      <c r="F46" s="1354"/>
      <c r="G46" s="1354"/>
      <c r="H46" s="1356"/>
      <c r="I46" s="1024">
        <v>-1.5840699999999999E-2</v>
      </c>
      <c r="J46" s="1028">
        <v>1.45957E-2</v>
      </c>
      <c r="K46" s="1026" t="s">
        <v>1023</v>
      </c>
      <c r="L46" s="1024">
        <v>3.91747E-2</v>
      </c>
      <c r="M46" s="1025">
        <v>1.6999999999999999E-20</v>
      </c>
      <c r="N46" s="1024">
        <v>3.6401999999999997E-2</v>
      </c>
      <c r="O46" s="1028">
        <v>8.2700000000000005E-17</v>
      </c>
      <c r="P46" s="1030" t="s">
        <v>1009</v>
      </c>
    </row>
    <row r="47" spans="1:48" ht="15" x14ac:dyDescent="0.25">
      <c r="A47" s="1360"/>
      <c r="B47" s="1360" t="s">
        <v>941</v>
      </c>
      <c r="C47" s="1350">
        <v>12</v>
      </c>
      <c r="D47" s="1352">
        <v>124427306</v>
      </c>
      <c r="E47" s="1352" t="s">
        <v>149</v>
      </c>
      <c r="F47" s="1354">
        <v>0.6946</v>
      </c>
      <c r="G47" s="1354">
        <v>-3.6023399999999997E-2</v>
      </c>
      <c r="H47" s="1356">
        <v>4.5899999999999996E-16</v>
      </c>
      <c r="I47" s="1024">
        <v>1.6081600000000001E-2</v>
      </c>
      <c r="J47" s="1028">
        <v>0.25017699999999998</v>
      </c>
      <c r="K47" s="1026" t="s">
        <v>1022</v>
      </c>
      <c r="L47" s="1024">
        <v>-3.8966800000000003E-2</v>
      </c>
      <c r="M47" s="1025">
        <v>3.61E-19</v>
      </c>
      <c r="N47" s="1024">
        <v>-5.3941200000000002E-2</v>
      </c>
      <c r="O47" s="1028">
        <v>8.5500000000000005E-5</v>
      </c>
      <c r="P47" s="1030" t="s">
        <v>1011</v>
      </c>
    </row>
    <row r="48" spans="1:48" ht="45" x14ac:dyDescent="0.25">
      <c r="A48" s="1361"/>
      <c r="B48" s="1361"/>
      <c r="C48" s="1351"/>
      <c r="D48" s="1353"/>
      <c r="E48" s="1353"/>
      <c r="F48" s="1355"/>
      <c r="G48" s="1355"/>
      <c r="H48" s="1357"/>
      <c r="I48" s="1031">
        <v>-3.0656900000000001E-2</v>
      </c>
      <c r="J48" s="1032">
        <v>7.9400000000000005E-12</v>
      </c>
      <c r="K48" s="1033" t="s">
        <v>1023</v>
      </c>
      <c r="L48" s="1031">
        <v>3.91747E-2</v>
      </c>
      <c r="M48" s="1034">
        <v>1.6999999999999999E-20</v>
      </c>
      <c r="N48" s="1031">
        <v>3.4904400000000002E-2</v>
      </c>
      <c r="O48" s="1032">
        <v>2.82E-16</v>
      </c>
      <c r="P48" s="1035" t="s">
        <v>1020</v>
      </c>
    </row>
    <row r="49" spans="1:48" ht="15" x14ac:dyDescent="0.25">
      <c r="A49" s="793">
        <v>16</v>
      </c>
      <c r="B49" s="902" t="s">
        <v>157</v>
      </c>
      <c r="C49" s="1026">
        <v>15</v>
      </c>
      <c r="D49" s="1046">
        <v>56756285</v>
      </c>
      <c r="E49" s="1046" t="s">
        <v>156</v>
      </c>
      <c r="F49" s="1024">
        <v>9.5799999999999996E-2</v>
      </c>
      <c r="G49" s="1024">
        <v>2.4037200000000002E-2</v>
      </c>
      <c r="H49" s="1025">
        <v>3.4447200000000002E-4</v>
      </c>
      <c r="I49" s="1024">
        <v>1.9153199999999999E-2</v>
      </c>
      <c r="J49" s="1028">
        <v>0.18931700000000001</v>
      </c>
      <c r="K49" s="1026" t="s">
        <v>159</v>
      </c>
      <c r="L49" s="1024">
        <v>2.0989000000000001E-2</v>
      </c>
      <c r="M49" s="1025">
        <v>8.0460199999999996E-4</v>
      </c>
      <c r="N49" s="1024">
        <v>5.1295300000000002E-3</v>
      </c>
      <c r="O49" s="1028">
        <v>0.70622399999999996</v>
      </c>
      <c r="P49" s="1029" t="s">
        <v>1005</v>
      </c>
    </row>
    <row r="50" spans="1:48" s="138" customFormat="1" ht="15" x14ac:dyDescent="0.25">
      <c r="A50" s="1366">
        <v>17</v>
      </c>
      <c r="B50" s="1379" t="s">
        <v>171</v>
      </c>
      <c r="C50" s="1047">
        <v>16</v>
      </c>
      <c r="D50" s="1048">
        <v>67397580</v>
      </c>
      <c r="E50" s="1048" t="s">
        <v>170</v>
      </c>
      <c r="F50" s="1049">
        <v>0.93830000000000002</v>
      </c>
      <c r="G50" s="1049">
        <v>-4.5348699999999999E-2</v>
      </c>
      <c r="H50" s="1050">
        <v>6.7622700000000001E-6</v>
      </c>
      <c r="I50" s="1049">
        <v>-4.6556300000000002E-2</v>
      </c>
      <c r="J50" s="1051">
        <v>3.8098599999999999E-4</v>
      </c>
      <c r="K50" s="1367" t="s">
        <v>173</v>
      </c>
      <c r="L50" s="1368">
        <v>-1.9171400000000002E-2</v>
      </c>
      <c r="M50" s="1369">
        <v>5.6553799999999998E-3</v>
      </c>
      <c r="N50" s="1049">
        <v>1.29839E-3</v>
      </c>
      <c r="O50" s="1051">
        <v>0.88542200000000004</v>
      </c>
      <c r="P50" s="1057" t="s">
        <v>1005</v>
      </c>
    </row>
    <row r="51" spans="1:48" s="138" customFormat="1" ht="15" x14ac:dyDescent="0.25">
      <c r="A51" s="1353"/>
      <c r="B51" s="1361"/>
      <c r="C51" s="1033">
        <v>16</v>
      </c>
      <c r="D51" s="1044">
        <v>67409180</v>
      </c>
      <c r="E51" s="1044" t="s">
        <v>175</v>
      </c>
      <c r="F51" s="1031">
        <v>0.93869999999999998</v>
      </c>
      <c r="G51" s="1031">
        <v>-4.4499499999999997E-2</v>
      </c>
      <c r="H51" s="1034">
        <v>1.03157E-5</v>
      </c>
      <c r="I51" s="1031">
        <v>-4.5132400000000003E-2</v>
      </c>
      <c r="J51" s="1032">
        <v>5.9204899999999998E-4</v>
      </c>
      <c r="K51" s="1351"/>
      <c r="L51" s="1355"/>
      <c r="M51" s="1357"/>
      <c r="N51" s="1031">
        <v>6.7819799999999997E-4</v>
      </c>
      <c r="O51" s="1032">
        <v>0.94007300000000005</v>
      </c>
      <c r="P51" s="1043" t="s">
        <v>1005</v>
      </c>
    </row>
    <row r="52" spans="1:48" s="138" customFormat="1" ht="15" x14ac:dyDescent="0.25">
      <c r="A52" s="793">
        <v>18</v>
      </c>
      <c r="B52" s="902" t="s">
        <v>206</v>
      </c>
      <c r="C52" s="1026">
        <v>17</v>
      </c>
      <c r="D52" s="1046">
        <v>17425631</v>
      </c>
      <c r="E52" s="1046" t="s">
        <v>205</v>
      </c>
      <c r="F52" s="1024">
        <v>0.56859999999999999</v>
      </c>
      <c r="G52" s="1024">
        <v>-2.2731100000000001E-2</v>
      </c>
      <c r="H52" s="1025">
        <v>3.69E-8</v>
      </c>
      <c r="I52" s="1024">
        <v>-1.7015700000000002E-2</v>
      </c>
      <c r="J52" s="1028">
        <v>9.1771800000000001E-3</v>
      </c>
      <c r="K52" s="1026" t="s">
        <v>208</v>
      </c>
      <c r="L52" s="1024">
        <v>-2.1636800000000001E-2</v>
      </c>
      <c r="M52" s="1025">
        <v>6.37E-7</v>
      </c>
      <c r="N52" s="1024">
        <v>-7.76314E-3</v>
      </c>
      <c r="O52" s="1028">
        <v>0.25866</v>
      </c>
      <c r="P52" s="1029" t="s">
        <v>1011</v>
      </c>
    </row>
    <row r="53" spans="1:48" s="138" customFormat="1" ht="15" x14ac:dyDescent="0.25">
      <c r="A53" s="1366">
        <v>19</v>
      </c>
      <c r="B53" s="1059" t="s">
        <v>957</v>
      </c>
      <c r="C53" s="1047">
        <v>19</v>
      </c>
      <c r="D53" s="1048">
        <v>18285944</v>
      </c>
      <c r="E53" s="1048" t="s">
        <v>178</v>
      </c>
      <c r="F53" s="1049">
        <v>0.2571</v>
      </c>
      <c r="G53" s="1049">
        <v>1.48883E-2</v>
      </c>
      <c r="H53" s="1050">
        <v>1.3113000000000001E-3</v>
      </c>
      <c r="I53" s="1049">
        <v>4.5558300000000003E-3</v>
      </c>
      <c r="J53" s="1051">
        <v>0.37765199999999999</v>
      </c>
      <c r="K53" s="1367" t="s">
        <v>180</v>
      </c>
      <c r="L53" s="1368">
        <v>-2.3429999999999999E-2</v>
      </c>
      <c r="M53" s="1369">
        <v>4.1999999999999999E-8</v>
      </c>
      <c r="N53" s="1049">
        <v>-2.15733E-2</v>
      </c>
      <c r="O53" s="1051">
        <v>5.9399999999999999E-6</v>
      </c>
      <c r="P53" s="1052" t="s">
        <v>1005</v>
      </c>
    </row>
    <row r="54" spans="1:48" s="138" customFormat="1" ht="15" x14ac:dyDescent="0.25">
      <c r="A54" s="1353"/>
      <c r="B54" s="1045" t="s">
        <v>958</v>
      </c>
      <c r="C54" s="1033">
        <v>19</v>
      </c>
      <c r="D54" s="1044">
        <v>18304700</v>
      </c>
      <c r="E54" s="1044" t="s">
        <v>182</v>
      </c>
      <c r="F54" s="1031">
        <v>0.2707</v>
      </c>
      <c r="G54" s="1031">
        <v>1.3321100000000001E-2</v>
      </c>
      <c r="H54" s="1034">
        <v>3.4436699999999998E-3</v>
      </c>
      <c r="I54" s="1031">
        <v>1.97445E-3</v>
      </c>
      <c r="J54" s="1032">
        <v>0.702291</v>
      </c>
      <c r="K54" s="1351"/>
      <c r="L54" s="1355"/>
      <c r="M54" s="1357"/>
      <c r="N54" s="1031">
        <v>-2.25554E-2</v>
      </c>
      <c r="O54" s="1032">
        <v>3.2799999999999999E-6</v>
      </c>
      <c r="P54" s="1035" t="s">
        <v>1005</v>
      </c>
    </row>
    <row r="55" spans="1:48" s="138" customFormat="1" ht="45" x14ac:dyDescent="0.25">
      <c r="A55" s="1366">
        <v>20</v>
      </c>
      <c r="B55" s="902" t="s">
        <v>265</v>
      </c>
      <c r="C55" s="1026">
        <v>20</v>
      </c>
      <c r="D55" s="1046">
        <v>33971914</v>
      </c>
      <c r="E55" s="1046" t="s">
        <v>193</v>
      </c>
      <c r="F55" s="1024">
        <v>0.60150000000000003</v>
      </c>
      <c r="G55" s="1024">
        <v>1.5769999999999999E-2</v>
      </c>
      <c r="H55" s="1025">
        <v>2.11385E-4</v>
      </c>
      <c r="I55" s="1024">
        <v>2.8791899999999998E-3</v>
      </c>
      <c r="J55" s="1028">
        <v>0.87930900000000001</v>
      </c>
      <c r="K55" s="1367" t="s">
        <v>195</v>
      </c>
      <c r="L55" s="1368">
        <v>-1.6129999999999999E-2</v>
      </c>
      <c r="M55" s="1369">
        <v>1.65191E-4</v>
      </c>
      <c r="N55" s="1024">
        <v>-1.3306399999999999E-2</v>
      </c>
      <c r="O55" s="1028">
        <v>0.48543700000000001</v>
      </c>
      <c r="P55" s="1029" t="s">
        <v>1009</v>
      </c>
    </row>
    <row r="56" spans="1:48" s="138" customFormat="1" ht="15" x14ac:dyDescent="0.25">
      <c r="A56" s="1353"/>
      <c r="B56" s="1045" t="s">
        <v>959</v>
      </c>
      <c r="C56" s="1033">
        <v>20</v>
      </c>
      <c r="D56" s="1044">
        <v>34022387</v>
      </c>
      <c r="E56" s="1044" t="s">
        <v>197</v>
      </c>
      <c r="F56" s="1031">
        <v>0.64359999999999995</v>
      </c>
      <c r="G56" s="1031">
        <v>-1.50948E-2</v>
      </c>
      <c r="H56" s="1034">
        <v>4.9572799999999997E-4</v>
      </c>
      <c r="I56" s="1031">
        <v>4.8293499999999996E-3</v>
      </c>
      <c r="J56" s="1032">
        <v>0.73357000000000006</v>
      </c>
      <c r="K56" s="1351"/>
      <c r="L56" s="1355"/>
      <c r="M56" s="1357"/>
      <c r="N56" s="1031">
        <v>-2.0671999999999999E-2</v>
      </c>
      <c r="O56" s="1032">
        <v>0.14030599999999999</v>
      </c>
      <c r="P56" s="1043" t="s">
        <v>1005</v>
      </c>
    </row>
    <row r="57" spans="1:48" s="138" customFormat="1" ht="15" x14ac:dyDescent="0.25">
      <c r="A57" s="59" t="s">
        <v>5570</v>
      </c>
      <c r="B57" s="902"/>
      <c r="C57" s="1046"/>
      <c r="D57" s="1046"/>
      <c r="E57" s="1046"/>
      <c r="F57" s="1024"/>
      <c r="G57" s="1024"/>
      <c r="H57" s="1025"/>
      <c r="I57" s="1024"/>
      <c r="J57" s="1025"/>
      <c r="K57" s="1046"/>
      <c r="L57" s="1024"/>
      <c r="M57" s="1025"/>
      <c r="N57" s="1024"/>
      <c r="O57" s="1025"/>
      <c r="P57" s="1029"/>
    </row>
    <row r="58" spans="1:48" s="138" customFormat="1" ht="45" x14ac:dyDescent="0.25">
      <c r="A58" s="1045">
        <v>2</v>
      </c>
      <c r="B58" s="1045" t="s">
        <v>28</v>
      </c>
      <c r="C58" s="1033">
        <v>1</v>
      </c>
      <c r="D58" s="1044">
        <v>154987704</v>
      </c>
      <c r="E58" s="1044" t="s">
        <v>27</v>
      </c>
      <c r="F58" s="1031">
        <v>0.97619999999999996</v>
      </c>
      <c r="G58" s="1031">
        <v>-0.102364</v>
      </c>
      <c r="H58" s="1034">
        <v>1.4000000000000001E-7</v>
      </c>
      <c r="I58" s="1031">
        <v>-8.4452799999999995E-2</v>
      </c>
      <c r="J58" s="1034">
        <v>2.51E-5</v>
      </c>
      <c r="K58" s="1033" t="s">
        <v>30</v>
      </c>
      <c r="L58" s="1031">
        <v>-3.0976299999999998E-2</v>
      </c>
      <c r="M58" s="1034">
        <v>1.33E-6</v>
      </c>
      <c r="N58" s="1031">
        <v>-2.4181999999999999E-2</v>
      </c>
      <c r="O58" s="1034">
        <v>2.5137400000000001E-4</v>
      </c>
      <c r="P58" s="1035" t="s">
        <v>1009</v>
      </c>
    </row>
    <row r="59" spans="1:48" s="126" customFormat="1" ht="45" x14ac:dyDescent="0.25">
      <c r="A59" s="1352">
        <v>3</v>
      </c>
      <c r="B59" s="1360" t="s">
        <v>38</v>
      </c>
      <c r="C59" s="1367">
        <v>2</v>
      </c>
      <c r="D59" s="1366">
        <v>165528624</v>
      </c>
      <c r="E59" s="1366" t="s">
        <v>37</v>
      </c>
      <c r="F59" s="1368">
        <v>0.87909999999999999</v>
      </c>
      <c r="G59" s="1368">
        <v>-7.5831499999999996E-2</v>
      </c>
      <c r="H59" s="1369">
        <v>7.8500000000000006E-18</v>
      </c>
      <c r="I59" s="1024">
        <v>-3.6201400000000002E-2</v>
      </c>
      <c r="J59" s="1025">
        <v>2.4792400000000001E-4</v>
      </c>
      <c r="K59" s="1026" t="s">
        <v>1010</v>
      </c>
      <c r="L59" s="1024">
        <v>-6.8224499999999993E-2</v>
      </c>
      <c r="M59" s="1025">
        <v>4.4099999999999998E-32</v>
      </c>
      <c r="N59" s="1024">
        <v>-5.7460999999999998E-2</v>
      </c>
      <c r="O59" s="1025">
        <v>8.2700000000000001E-19</v>
      </c>
      <c r="P59" s="1030" t="s">
        <v>1009</v>
      </c>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row>
    <row r="60" spans="1:48" ht="45" x14ac:dyDescent="0.25">
      <c r="A60" s="1352"/>
      <c r="B60" s="1360"/>
      <c r="C60" s="1350"/>
      <c r="D60" s="1352"/>
      <c r="E60" s="1352"/>
      <c r="F60" s="1354"/>
      <c r="G60" s="1354"/>
      <c r="H60" s="1356"/>
      <c r="I60" s="1024">
        <v>-3.7745399999999998E-2</v>
      </c>
      <c r="J60" s="1025">
        <v>1.17243E-4</v>
      </c>
      <c r="K60" s="1026" t="s">
        <v>1012</v>
      </c>
      <c r="L60" s="1024">
        <v>-6.7600400000000005E-2</v>
      </c>
      <c r="M60" s="1025">
        <v>8.1799999999999998E-32</v>
      </c>
      <c r="N60" s="1024">
        <v>-5.6791500000000002E-2</v>
      </c>
      <c r="O60" s="1025">
        <v>7.5399999999999999E-19</v>
      </c>
      <c r="P60" s="1030" t="s">
        <v>1009</v>
      </c>
    </row>
    <row r="61" spans="1:48" ht="45" x14ac:dyDescent="0.25">
      <c r="A61" s="1352"/>
      <c r="B61" s="1360"/>
      <c r="C61" s="1350"/>
      <c r="D61" s="1352"/>
      <c r="E61" s="1352"/>
      <c r="F61" s="1354"/>
      <c r="G61" s="1354"/>
      <c r="H61" s="1356"/>
      <c r="I61" s="1024">
        <v>-4.5259800000000003E-2</v>
      </c>
      <c r="J61" s="1025">
        <v>7.6399999999999997E-6</v>
      </c>
      <c r="K61" s="1026" t="s">
        <v>1013</v>
      </c>
      <c r="L61" s="1024">
        <v>-5.70161E-2</v>
      </c>
      <c r="M61" s="1025">
        <v>9.2399999999999999E-22</v>
      </c>
      <c r="N61" s="1024">
        <v>-4.2023699999999997E-2</v>
      </c>
      <c r="O61" s="1025">
        <v>7.4100000000000003E-10</v>
      </c>
      <c r="P61" s="1030" t="s">
        <v>1009</v>
      </c>
    </row>
    <row r="62" spans="1:48" ht="45" x14ac:dyDescent="0.25">
      <c r="A62" s="1352"/>
      <c r="B62" s="1360"/>
      <c r="C62" s="1350"/>
      <c r="D62" s="1352"/>
      <c r="E62" s="1352"/>
      <c r="F62" s="1354"/>
      <c r="G62" s="1354"/>
      <c r="H62" s="1356"/>
      <c r="I62" s="1024">
        <v>-4.4340699999999997E-2</v>
      </c>
      <c r="J62" s="1025">
        <v>1.41092E-4</v>
      </c>
      <c r="K62" s="1026" t="s">
        <v>1014</v>
      </c>
      <c r="L62" s="1024">
        <v>-6.0043399999999997E-2</v>
      </c>
      <c r="M62" s="1025">
        <v>2.1099999999999999E-18</v>
      </c>
      <c r="N62" s="1024">
        <v>-3.74735E-2</v>
      </c>
      <c r="O62" s="1025">
        <v>3.5800000000000003E-5</v>
      </c>
      <c r="P62" s="1030" t="s">
        <v>1009</v>
      </c>
    </row>
    <row r="63" spans="1:48" ht="15" x14ac:dyDescent="0.25">
      <c r="A63" s="1353"/>
      <c r="B63" s="1361"/>
      <c r="C63" s="1351"/>
      <c r="D63" s="1353"/>
      <c r="E63" s="1353"/>
      <c r="F63" s="1355"/>
      <c r="G63" s="1355"/>
      <c r="H63" s="1357"/>
      <c r="I63" s="1031">
        <v>-8.0097000000000002E-2</v>
      </c>
      <c r="J63" s="1034">
        <v>2.5300000000000002E-19</v>
      </c>
      <c r="K63" s="1033" t="s">
        <v>1015</v>
      </c>
      <c r="L63" s="1031">
        <v>-1.5569700000000001E-2</v>
      </c>
      <c r="M63" s="1034">
        <v>4.9779499999999997E-2</v>
      </c>
      <c r="N63" s="1031">
        <v>-2.6151299999999999E-2</v>
      </c>
      <c r="O63" s="1034">
        <v>1.10833E-3</v>
      </c>
      <c r="P63" s="1035" t="s">
        <v>1018</v>
      </c>
    </row>
    <row r="64" spans="1:48" ht="15" x14ac:dyDescent="0.25">
      <c r="A64" s="1366">
        <v>6</v>
      </c>
      <c r="B64" s="1059" t="s">
        <v>917</v>
      </c>
      <c r="C64" s="1047">
        <v>3</v>
      </c>
      <c r="D64" s="1048">
        <v>129137188</v>
      </c>
      <c r="E64" s="1048" t="s">
        <v>58</v>
      </c>
      <c r="F64" s="1049">
        <v>0.93610000000000004</v>
      </c>
      <c r="G64" s="1024">
        <v>-5.09205E-2</v>
      </c>
      <c r="H64" s="1025">
        <v>4.1099999999999996E-6</v>
      </c>
      <c r="I64" s="1024">
        <v>-1.1396999999999999E-2</v>
      </c>
      <c r="J64" s="1025">
        <v>0.35558200000000001</v>
      </c>
      <c r="K64" s="1367" t="s">
        <v>60</v>
      </c>
      <c r="L64" s="1368">
        <v>5.8808199999999998E-2</v>
      </c>
      <c r="M64" s="1369">
        <v>1.8700000000000001E-17</v>
      </c>
      <c r="N64" s="1024">
        <v>5.5638100000000003E-2</v>
      </c>
      <c r="O64" s="1025">
        <v>5.7799999999999996E-13</v>
      </c>
      <c r="P64" s="1030" t="s">
        <v>1011</v>
      </c>
    </row>
    <row r="65" spans="1:48" ht="15" x14ac:dyDescent="0.25">
      <c r="A65" s="1352"/>
      <c r="B65" s="1360" t="s">
        <v>216</v>
      </c>
      <c r="C65" s="1026">
        <v>3</v>
      </c>
      <c r="D65" s="1046">
        <v>129284818</v>
      </c>
      <c r="E65" s="1046" t="s">
        <v>62</v>
      </c>
      <c r="F65" s="1024">
        <v>0.73280000000000001</v>
      </c>
      <c r="G65" s="1024">
        <v>-3.4888799999999998E-2</v>
      </c>
      <c r="H65" s="1025">
        <v>2.77E-8</v>
      </c>
      <c r="I65" s="1024">
        <v>-2.4383899999999999E-3</v>
      </c>
      <c r="J65" s="1025">
        <v>0.76190199999999997</v>
      </c>
      <c r="K65" s="1350"/>
      <c r="L65" s="1354"/>
      <c r="M65" s="1356"/>
      <c r="N65" s="1024">
        <v>5.7127799999999999E-2</v>
      </c>
      <c r="O65" s="1025">
        <v>1.1700000000000001E-10</v>
      </c>
      <c r="P65" s="1030" t="s">
        <v>1011</v>
      </c>
    </row>
    <row r="66" spans="1:48" ht="15" x14ac:dyDescent="0.25">
      <c r="A66" s="1353"/>
      <c r="B66" s="1361"/>
      <c r="C66" s="1033">
        <v>3</v>
      </c>
      <c r="D66" s="1044">
        <v>129293256</v>
      </c>
      <c r="E66" s="1044" t="s">
        <v>215</v>
      </c>
      <c r="F66" s="1031">
        <v>0.61980000000000002</v>
      </c>
      <c r="G66" s="1031">
        <v>-2.6712E-2</v>
      </c>
      <c r="H66" s="1034">
        <v>4.6600000000000003E-6</v>
      </c>
      <c r="I66" s="1031">
        <v>-5.5027899999999998E-4</v>
      </c>
      <c r="J66" s="1034">
        <v>0.93624499999999999</v>
      </c>
      <c r="K66" s="1351"/>
      <c r="L66" s="1355"/>
      <c r="M66" s="1357"/>
      <c r="N66" s="1031">
        <v>5.8462E-2</v>
      </c>
      <c r="O66" s="1034">
        <v>7.8699999999999998E-13</v>
      </c>
      <c r="P66" s="1035" t="s">
        <v>1011</v>
      </c>
    </row>
    <row r="67" spans="1:48" ht="45" x14ac:dyDescent="0.25">
      <c r="A67" s="1352">
        <v>7</v>
      </c>
      <c r="B67" s="902" t="s">
        <v>918</v>
      </c>
      <c r="C67" s="1026">
        <v>4</v>
      </c>
      <c r="D67" s="1046">
        <v>89625427</v>
      </c>
      <c r="E67" s="1046" t="s">
        <v>65</v>
      </c>
      <c r="F67" s="1024">
        <v>0.83809999999999996</v>
      </c>
      <c r="G67" s="1024">
        <v>-3.8280300000000003E-2</v>
      </c>
      <c r="H67" s="1025">
        <v>6.0399999999999996E-7</v>
      </c>
      <c r="I67" s="1024">
        <v>-1.83714E-2</v>
      </c>
      <c r="J67" s="1025">
        <v>2.3818200000000001E-2</v>
      </c>
      <c r="K67" s="1367" t="s">
        <v>67</v>
      </c>
      <c r="L67" s="1368">
        <v>4.9218499999999998E-2</v>
      </c>
      <c r="M67" s="1369">
        <v>7.1800000000000003E-18</v>
      </c>
      <c r="N67" s="1024">
        <v>4.4672499999999997E-2</v>
      </c>
      <c r="O67" s="1025">
        <v>1.66E-13</v>
      </c>
      <c r="P67" s="1030" t="s">
        <v>1009</v>
      </c>
    </row>
    <row r="68" spans="1:48" ht="45" x14ac:dyDescent="0.25">
      <c r="A68" s="1353"/>
      <c r="B68" s="1045" t="s">
        <v>919</v>
      </c>
      <c r="C68" s="1033">
        <v>4</v>
      </c>
      <c r="D68" s="1044">
        <v>89668859</v>
      </c>
      <c r="E68" s="1044" t="s">
        <v>69</v>
      </c>
      <c r="F68" s="1031">
        <v>0.81530000000000002</v>
      </c>
      <c r="G68" s="1031">
        <v>-3.2319899999999999E-2</v>
      </c>
      <c r="H68" s="1034">
        <v>1.33E-5</v>
      </c>
      <c r="I68" s="1031">
        <v>-1.70638E-2</v>
      </c>
      <c r="J68" s="1034">
        <v>2.6186899999999999E-2</v>
      </c>
      <c r="K68" s="1351"/>
      <c r="L68" s="1355"/>
      <c r="M68" s="1357"/>
      <c r="N68" s="1031">
        <v>4.5850599999999998E-2</v>
      </c>
      <c r="O68" s="1034">
        <v>8.7999999999999994E-15</v>
      </c>
      <c r="P68" s="1035" t="s">
        <v>1009</v>
      </c>
    </row>
    <row r="69" spans="1:48" ht="15" x14ac:dyDescent="0.25">
      <c r="A69" s="1366">
        <v>11</v>
      </c>
      <c r="B69" s="1379" t="s">
        <v>923</v>
      </c>
      <c r="C69" s="1367">
        <v>6</v>
      </c>
      <c r="D69" s="1366">
        <v>127476516</v>
      </c>
      <c r="E69" s="1366" t="s">
        <v>95</v>
      </c>
      <c r="F69" s="1368">
        <v>0.54290000000000005</v>
      </c>
      <c r="G69" s="1368">
        <v>5.8903200000000003E-2</v>
      </c>
      <c r="H69" s="1369">
        <v>6.2799999999999997E-25</v>
      </c>
      <c r="I69" s="1049">
        <v>7.4012700000000001E-2</v>
      </c>
      <c r="J69" s="1050">
        <v>4.9600000000000004E-28</v>
      </c>
      <c r="K69" s="1047" t="s">
        <v>1017</v>
      </c>
      <c r="L69" s="1049">
        <v>1.22766E-2</v>
      </c>
      <c r="M69" s="1050">
        <v>5.6675999999999997E-2</v>
      </c>
      <c r="N69" s="1049">
        <v>-3.20516E-2</v>
      </c>
      <c r="O69" s="1050">
        <v>2.4600000000000002E-5</v>
      </c>
      <c r="P69" s="1052" t="s">
        <v>1018</v>
      </c>
    </row>
    <row r="70" spans="1:48" ht="45" x14ac:dyDescent="0.25">
      <c r="A70" s="1352"/>
      <c r="B70" s="1360"/>
      <c r="C70" s="1350"/>
      <c r="D70" s="1352"/>
      <c r="E70" s="1352"/>
      <c r="F70" s="1354"/>
      <c r="G70" s="1354"/>
      <c r="H70" s="1356"/>
      <c r="I70" s="1024">
        <v>3.9829999999999997E-2</v>
      </c>
      <c r="J70" s="1025">
        <v>8.0999999999999998E-12</v>
      </c>
      <c r="K70" s="1026" t="s">
        <v>1019</v>
      </c>
      <c r="L70" s="1024">
        <v>0.228827</v>
      </c>
      <c r="M70" s="1025">
        <v>2.6999999999999997E-69</v>
      </c>
      <c r="N70" s="1024">
        <v>0.21005199999999999</v>
      </c>
      <c r="O70" s="1025">
        <v>2.6E-56</v>
      </c>
      <c r="P70" s="1030" t="s">
        <v>1020</v>
      </c>
    </row>
    <row r="71" spans="1:48" s="126" customFormat="1" ht="15" x14ac:dyDescent="0.25">
      <c r="A71" s="1352"/>
      <c r="B71" s="1360"/>
      <c r="C71" s="1350"/>
      <c r="D71" s="1352"/>
      <c r="E71" s="1352"/>
      <c r="F71" s="1354"/>
      <c r="G71" s="1354"/>
      <c r="H71" s="1356"/>
      <c r="I71" s="1024">
        <v>-1.3215099999999999E-3</v>
      </c>
      <c r="J71" s="1025">
        <v>0.927979</v>
      </c>
      <c r="K71" s="1026" t="s">
        <v>1021</v>
      </c>
      <c r="L71" s="1024">
        <v>6.3924300000000003E-2</v>
      </c>
      <c r="M71" s="1025">
        <v>2.6099999999999999E-29</v>
      </c>
      <c r="N71" s="1024">
        <v>6.5134200000000003E-2</v>
      </c>
      <c r="O71" s="1025">
        <v>7.6799999999999993E-6</v>
      </c>
      <c r="P71" s="1029" t="s">
        <v>1011</v>
      </c>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row>
    <row r="72" spans="1:48" ht="45" x14ac:dyDescent="0.25">
      <c r="A72" s="1352"/>
      <c r="B72" s="1360" t="s">
        <v>924</v>
      </c>
      <c r="C72" s="1350">
        <v>6</v>
      </c>
      <c r="D72" s="1352">
        <v>127767954</v>
      </c>
      <c r="E72" s="1352" t="s">
        <v>99</v>
      </c>
      <c r="F72" s="1354">
        <v>9.7000000000000003E-3</v>
      </c>
      <c r="G72" s="1354">
        <v>0.137962</v>
      </c>
      <c r="H72" s="1356">
        <v>2.0800000000000001E-7</v>
      </c>
      <c r="I72" s="1024">
        <v>0.11609999999999999</v>
      </c>
      <c r="J72" s="1025">
        <v>1.2999999999999999E-5</v>
      </c>
      <c r="K72" s="1026" t="s">
        <v>1021</v>
      </c>
      <c r="L72" s="1024">
        <v>6.3924300000000003E-2</v>
      </c>
      <c r="M72" s="1025">
        <v>2.6099999999999999E-29</v>
      </c>
      <c r="N72" s="1024">
        <v>6.2049E-2</v>
      </c>
      <c r="O72" s="1025">
        <v>1.43E-27</v>
      </c>
      <c r="P72" s="1030" t="s">
        <v>1024</v>
      </c>
    </row>
    <row r="73" spans="1:48" s="126" customFormat="1" ht="45" x14ac:dyDescent="0.25">
      <c r="A73" s="1352"/>
      <c r="B73" s="1360"/>
      <c r="C73" s="1350"/>
      <c r="D73" s="1352"/>
      <c r="E73" s="1352"/>
      <c r="F73" s="1354"/>
      <c r="G73" s="1354"/>
      <c r="H73" s="1356"/>
      <c r="I73" s="1024">
        <v>0.14089699999999999</v>
      </c>
      <c r="J73" s="1025">
        <v>1.1899999999999999E-7</v>
      </c>
      <c r="K73" s="1055" t="s">
        <v>1017</v>
      </c>
      <c r="L73" s="1024">
        <v>1.22766E-2</v>
      </c>
      <c r="M73" s="1025">
        <v>5.6675999999999997E-2</v>
      </c>
      <c r="N73" s="1024">
        <v>1.40108E-2</v>
      </c>
      <c r="O73" s="1025">
        <v>2.9804899999999999E-2</v>
      </c>
      <c r="P73" s="1030" t="s">
        <v>1024</v>
      </c>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row>
    <row r="74" spans="1:48" ht="15" x14ac:dyDescent="0.25">
      <c r="A74" s="1353"/>
      <c r="B74" s="1361"/>
      <c r="C74" s="1351"/>
      <c r="D74" s="1353"/>
      <c r="E74" s="1353"/>
      <c r="F74" s="1355"/>
      <c r="G74" s="1355"/>
      <c r="H74" s="1357"/>
      <c r="I74" s="1031">
        <v>-2.98572E-2</v>
      </c>
      <c r="J74" s="1034">
        <v>0.29169800000000001</v>
      </c>
      <c r="K74" s="1056" t="s">
        <v>1019</v>
      </c>
      <c r="L74" s="1031">
        <v>0.228827</v>
      </c>
      <c r="M74" s="1034">
        <v>2.6999999999999997E-69</v>
      </c>
      <c r="N74" s="1031">
        <v>0.23396800000000001</v>
      </c>
      <c r="O74" s="1034">
        <v>1.16E-63</v>
      </c>
      <c r="P74" s="1035" t="s">
        <v>1011</v>
      </c>
    </row>
    <row r="75" spans="1:48" ht="15" x14ac:dyDescent="0.25">
      <c r="A75" s="1044">
        <v>14</v>
      </c>
      <c r="B75" s="1045" t="s">
        <v>123</v>
      </c>
      <c r="C75" s="1033">
        <v>11</v>
      </c>
      <c r="D75" s="1044">
        <v>64031241</v>
      </c>
      <c r="E75" s="1044" t="s">
        <v>122</v>
      </c>
      <c r="F75" s="1031">
        <v>6.08E-2</v>
      </c>
      <c r="G75" s="1031">
        <v>5.9321800000000001E-2</v>
      </c>
      <c r="H75" s="1034">
        <v>2.4200000000000002E-7</v>
      </c>
      <c r="I75" s="1031">
        <v>4.55611E-2</v>
      </c>
      <c r="J75" s="1034">
        <v>3.7748199999999999E-3</v>
      </c>
      <c r="K75" s="1033" t="s">
        <v>125</v>
      </c>
      <c r="L75" s="1031">
        <v>5.57987E-2</v>
      </c>
      <c r="M75" s="1034">
        <v>8.0800000000000006E-6</v>
      </c>
      <c r="N75" s="1031">
        <v>2.1919399999999999E-2</v>
      </c>
      <c r="O75" s="1034">
        <v>0.20041700000000001</v>
      </c>
      <c r="P75" s="1043" t="s">
        <v>1011</v>
      </c>
    </row>
    <row r="76" spans="1:48" ht="15" x14ac:dyDescent="0.25">
      <c r="A76" s="1379">
        <v>15</v>
      </c>
      <c r="B76" s="1379" t="s">
        <v>939</v>
      </c>
      <c r="C76" s="1367">
        <v>12</v>
      </c>
      <c r="D76" s="1366">
        <v>123444507</v>
      </c>
      <c r="E76" s="1366" t="s">
        <v>139</v>
      </c>
      <c r="F76" s="1368">
        <v>0.98699999999999999</v>
      </c>
      <c r="G76" s="1368">
        <v>-4.8431799999999997E-2</v>
      </c>
      <c r="H76" s="1369">
        <v>3.8639E-2</v>
      </c>
      <c r="I76" s="1049">
        <v>-3.2987200000000001E-2</v>
      </c>
      <c r="J76" s="1050">
        <v>0.15972</v>
      </c>
      <c r="K76" s="1047" t="s">
        <v>1022</v>
      </c>
      <c r="L76" s="1049">
        <v>-5.66008E-2</v>
      </c>
      <c r="M76" s="1050">
        <v>3.2700000000000001E-21</v>
      </c>
      <c r="N76" s="1049">
        <v>-5.6005899999999997E-2</v>
      </c>
      <c r="O76" s="1050">
        <v>1.0499999999999999E-20</v>
      </c>
      <c r="P76" s="1052" t="s">
        <v>1005</v>
      </c>
    </row>
    <row r="77" spans="1:48" ht="15" x14ac:dyDescent="0.25">
      <c r="A77" s="1360"/>
      <c r="B77" s="1360"/>
      <c r="C77" s="1350"/>
      <c r="D77" s="1352"/>
      <c r="E77" s="1352"/>
      <c r="F77" s="1354"/>
      <c r="G77" s="1354"/>
      <c r="H77" s="1356"/>
      <c r="I77" s="1024">
        <v>-3.7442799999999998E-2</v>
      </c>
      <c r="J77" s="1025">
        <v>0.10997</v>
      </c>
      <c r="K77" s="1026" t="s">
        <v>1023</v>
      </c>
      <c r="L77" s="1024">
        <v>5.8766899999999997E-2</v>
      </c>
      <c r="M77" s="1025">
        <v>4.42E-24</v>
      </c>
      <c r="N77" s="1024">
        <v>5.8333099999999999E-2</v>
      </c>
      <c r="O77" s="1025">
        <v>1.0599999999999999E-23</v>
      </c>
      <c r="P77" s="1030" t="s">
        <v>1005</v>
      </c>
    </row>
    <row r="78" spans="1:48" s="126" customFormat="1" ht="45" x14ac:dyDescent="0.25">
      <c r="A78" s="1360"/>
      <c r="B78" s="1360" t="s">
        <v>940</v>
      </c>
      <c r="C78" s="1350">
        <v>12</v>
      </c>
      <c r="D78" s="1352">
        <v>124265687</v>
      </c>
      <c r="E78" s="1352" t="s">
        <v>143</v>
      </c>
      <c r="F78" s="1354">
        <v>0.37319999999999998</v>
      </c>
      <c r="G78" s="1354">
        <v>-3.3019800000000002E-2</v>
      </c>
      <c r="H78" s="1356">
        <v>1.28E-8</v>
      </c>
      <c r="I78" s="1024">
        <v>-1.6637599999999999E-2</v>
      </c>
      <c r="J78" s="1025">
        <v>6.8208799999999997E-3</v>
      </c>
      <c r="K78" s="1026" t="s">
        <v>1022</v>
      </c>
      <c r="L78" s="1024">
        <v>-5.66008E-2</v>
      </c>
      <c r="M78" s="1025">
        <v>3.2700000000000001E-21</v>
      </c>
      <c r="N78" s="1024">
        <v>-5.0900800000000003E-2</v>
      </c>
      <c r="O78" s="1025">
        <v>1.0499999999999999E-15</v>
      </c>
      <c r="P78" s="1030" t="s">
        <v>1009</v>
      </c>
      <c r="Q78" s="560"/>
      <c r="R78" s="560"/>
      <c r="S78" s="560"/>
      <c r="T78" s="560"/>
      <c r="U78" s="560"/>
      <c r="V78" s="560"/>
      <c r="W78" s="560"/>
      <c r="X78" s="560"/>
      <c r="Y78" s="560"/>
      <c r="Z78" s="560"/>
      <c r="AA78" s="560"/>
      <c r="AB78" s="560"/>
      <c r="AC78" s="560"/>
      <c r="AD78" s="560"/>
      <c r="AE78" s="560"/>
      <c r="AF78" s="560"/>
      <c r="AG78" s="560"/>
      <c r="AH78" s="560"/>
      <c r="AI78" s="560"/>
      <c r="AJ78" s="560"/>
      <c r="AK78" s="560"/>
      <c r="AL78" s="560"/>
      <c r="AM78" s="560"/>
      <c r="AN78" s="560"/>
      <c r="AO78" s="560"/>
      <c r="AP78" s="560"/>
      <c r="AQ78" s="560"/>
      <c r="AR78" s="560"/>
      <c r="AS78" s="560"/>
      <c r="AT78" s="560"/>
      <c r="AU78" s="560"/>
      <c r="AV78" s="560"/>
    </row>
    <row r="79" spans="1:48" ht="45" x14ac:dyDescent="0.25">
      <c r="A79" s="1360"/>
      <c r="B79" s="1360"/>
      <c r="C79" s="1350"/>
      <c r="D79" s="1352"/>
      <c r="E79" s="1352"/>
      <c r="F79" s="1354"/>
      <c r="G79" s="1354"/>
      <c r="H79" s="1356"/>
      <c r="I79" s="1024">
        <v>-2.15056E-2</v>
      </c>
      <c r="J79" s="1025">
        <v>2.9104700000000001E-4</v>
      </c>
      <c r="K79" s="1026" t="s">
        <v>1023</v>
      </c>
      <c r="L79" s="1024">
        <v>5.8766899999999997E-2</v>
      </c>
      <c r="M79" s="1025">
        <v>4.42E-24</v>
      </c>
      <c r="N79" s="1024">
        <v>5.4192299999999999E-2</v>
      </c>
      <c r="O79" s="1025">
        <v>7.36E-20</v>
      </c>
      <c r="P79" s="1030" t="s">
        <v>1009</v>
      </c>
    </row>
    <row r="80" spans="1:48" ht="45" x14ac:dyDescent="0.25">
      <c r="A80" s="1360"/>
      <c r="B80" s="1360"/>
      <c r="C80" s="1350">
        <v>12</v>
      </c>
      <c r="D80" s="1352">
        <v>124330311</v>
      </c>
      <c r="E80" s="1352" t="s">
        <v>146</v>
      </c>
      <c r="F80" s="1354">
        <v>0.88929999999999998</v>
      </c>
      <c r="G80" s="1354">
        <v>-5.24079E-2</v>
      </c>
      <c r="H80" s="1356">
        <v>1.2799999999999999E-9</v>
      </c>
      <c r="I80" s="1024">
        <v>-2.4726000000000001E-2</v>
      </c>
      <c r="J80" s="1025">
        <v>8.1489400000000003E-3</v>
      </c>
      <c r="K80" s="1026" t="s">
        <v>1022</v>
      </c>
      <c r="L80" s="1024">
        <v>-5.66008E-2</v>
      </c>
      <c r="M80" s="1025">
        <v>3.2700000000000001E-21</v>
      </c>
      <c r="N80" s="1024">
        <v>-5.0019000000000001E-2</v>
      </c>
      <c r="O80" s="1025">
        <v>1.1999999999999999E-14</v>
      </c>
      <c r="P80" s="1030" t="s">
        <v>1009</v>
      </c>
    </row>
    <row r="81" spans="1:22" ht="45" x14ac:dyDescent="0.25">
      <c r="A81" s="1360"/>
      <c r="B81" s="1360"/>
      <c r="C81" s="1350"/>
      <c r="D81" s="1352"/>
      <c r="E81" s="1352"/>
      <c r="F81" s="1354"/>
      <c r="G81" s="1354"/>
      <c r="H81" s="1356"/>
      <c r="I81" s="1024">
        <v>-3.2131399999999997E-2</v>
      </c>
      <c r="J81" s="1025">
        <v>3.18666E-4</v>
      </c>
      <c r="K81" s="1026" t="s">
        <v>1023</v>
      </c>
      <c r="L81" s="1024">
        <v>5.8766899999999997E-2</v>
      </c>
      <c r="M81" s="1025">
        <v>4.42E-24</v>
      </c>
      <c r="N81" s="1024">
        <v>5.3230100000000002E-2</v>
      </c>
      <c r="O81" s="1025">
        <v>7.7300000000000005E-19</v>
      </c>
      <c r="P81" s="1030" t="s">
        <v>1009</v>
      </c>
    </row>
    <row r="82" spans="1:22" ht="15" x14ac:dyDescent="0.25">
      <c r="A82" s="1360"/>
      <c r="B82" s="1360" t="s">
        <v>941</v>
      </c>
      <c r="C82" s="1350">
        <v>12</v>
      </c>
      <c r="D82" s="1352">
        <v>124427306</v>
      </c>
      <c r="E82" s="1352" t="s">
        <v>149</v>
      </c>
      <c r="F82" s="1354">
        <v>0.6946</v>
      </c>
      <c r="G82" s="1354">
        <v>-5.4381600000000002E-2</v>
      </c>
      <c r="H82" s="1356">
        <v>5.0800000000000001E-19</v>
      </c>
      <c r="I82" s="1024">
        <v>2.9959800000000001E-3</v>
      </c>
      <c r="J82" s="1025">
        <v>0.87562499999999999</v>
      </c>
      <c r="K82" s="1026" t="s">
        <v>1022</v>
      </c>
      <c r="L82" s="1024">
        <v>-5.66008E-2</v>
      </c>
      <c r="M82" s="1025">
        <v>3.2700000000000001E-21</v>
      </c>
      <c r="N82" s="1024">
        <v>-5.9385899999999998E-2</v>
      </c>
      <c r="O82" s="1025">
        <v>1.56537E-3</v>
      </c>
      <c r="P82" s="1030" t="s">
        <v>1011</v>
      </c>
    </row>
    <row r="83" spans="1:22" ht="45" x14ac:dyDescent="0.25">
      <c r="A83" s="1361"/>
      <c r="B83" s="1361"/>
      <c r="C83" s="1351"/>
      <c r="D83" s="1353"/>
      <c r="E83" s="1353"/>
      <c r="F83" s="1355"/>
      <c r="G83" s="1355"/>
      <c r="H83" s="1357"/>
      <c r="I83" s="1031">
        <v>-4.6515000000000001E-2</v>
      </c>
      <c r="J83" s="1034">
        <v>4.38E-14</v>
      </c>
      <c r="K83" s="1033" t="s">
        <v>1023</v>
      </c>
      <c r="L83" s="1031">
        <v>5.8766899999999997E-2</v>
      </c>
      <c r="M83" s="1034">
        <v>4.42E-24</v>
      </c>
      <c r="N83" s="1031">
        <v>5.2452199999999997E-2</v>
      </c>
      <c r="O83" s="1034">
        <v>3.67E-19</v>
      </c>
      <c r="P83" s="1035" t="s">
        <v>1020</v>
      </c>
    </row>
    <row r="84" spans="1:22" ht="15" x14ac:dyDescent="0.25">
      <c r="A84" s="59" t="s">
        <v>5571</v>
      </c>
      <c r="B84" s="902"/>
      <c r="C84" s="1026"/>
      <c r="D84" s="1046"/>
      <c r="E84" s="1046"/>
      <c r="F84" s="1024"/>
      <c r="G84" s="1024"/>
      <c r="H84" s="1025"/>
      <c r="I84" s="1024"/>
      <c r="J84" s="1025"/>
      <c r="K84" s="1026"/>
      <c r="L84" s="1024"/>
      <c r="M84" s="1025"/>
      <c r="N84" s="1024"/>
      <c r="O84" s="1025"/>
      <c r="P84" s="1030"/>
    </row>
    <row r="85" spans="1:22" s="138" customFormat="1" ht="45" x14ac:dyDescent="0.25">
      <c r="A85" s="1044">
        <v>20</v>
      </c>
      <c r="B85" s="1045" t="s">
        <v>265</v>
      </c>
      <c r="C85" s="1033">
        <v>20</v>
      </c>
      <c r="D85" s="1044">
        <v>33971914</v>
      </c>
      <c r="E85" s="1044" t="s">
        <v>193</v>
      </c>
      <c r="F85" s="1031">
        <v>0.60150000000000003</v>
      </c>
      <c r="G85" s="1031">
        <v>2.8312E-2</v>
      </c>
      <c r="H85" s="1034">
        <v>4.3900000000000003E-6</v>
      </c>
      <c r="I85" s="1031">
        <v>4.77717E-2</v>
      </c>
      <c r="J85" s="1034">
        <v>7.9322000000000004E-2</v>
      </c>
      <c r="K85" s="1033" t="s">
        <v>195</v>
      </c>
      <c r="L85" s="1031">
        <v>-2.67125E-2</v>
      </c>
      <c r="M85" s="1034">
        <v>1.66E-5</v>
      </c>
      <c r="N85" s="1031">
        <v>2.0098100000000001E-2</v>
      </c>
      <c r="O85" s="1034">
        <v>0.46308899999999997</v>
      </c>
      <c r="P85" s="1043" t="s">
        <v>1009</v>
      </c>
    </row>
    <row r="86" spans="1:22" customFormat="1" ht="15" x14ac:dyDescent="0.25">
      <c r="A86" s="169" t="s">
        <v>226</v>
      </c>
      <c r="B86" s="49"/>
      <c r="C86" s="1"/>
      <c r="D86" s="1"/>
      <c r="E86" s="1"/>
      <c r="F86" s="1"/>
      <c r="G86" s="568"/>
      <c r="H86" s="4"/>
      <c r="I86" s="16"/>
      <c r="J86" s="29"/>
      <c r="K86" s="16"/>
      <c r="L86" s="177"/>
      <c r="M86" s="177"/>
      <c r="N86" s="177"/>
      <c r="O86" s="569"/>
      <c r="P86" s="29"/>
      <c r="Q86" s="16"/>
      <c r="R86" s="833"/>
      <c r="S86" s="16"/>
      <c r="T86" s="576"/>
      <c r="U86" s="11"/>
      <c r="V86" s="11"/>
    </row>
    <row r="87" spans="1:22" customFormat="1" ht="15" x14ac:dyDescent="0.25">
      <c r="A87" s="219" t="s">
        <v>5568</v>
      </c>
      <c r="B87" s="49"/>
      <c r="C87" s="1"/>
      <c r="D87" s="1"/>
      <c r="E87" s="1"/>
      <c r="F87" s="1"/>
      <c r="G87" s="568"/>
      <c r="H87" s="4"/>
      <c r="I87" s="16"/>
      <c r="J87" s="29"/>
      <c r="K87" s="16"/>
      <c r="L87" s="177"/>
      <c r="M87" s="177"/>
      <c r="N87" s="177"/>
      <c r="O87" s="569"/>
      <c r="P87" s="29"/>
      <c r="Q87" s="16"/>
      <c r="R87" s="833"/>
      <c r="S87" s="16"/>
      <c r="T87" s="576"/>
      <c r="U87" s="11"/>
      <c r="V87" s="11"/>
    </row>
    <row r="88" spans="1:22" s="138" customFormat="1" ht="15" x14ac:dyDescent="0.25">
      <c r="A88" s="256" t="s">
        <v>5313</v>
      </c>
      <c r="B88" s="826"/>
      <c r="C88" s="816"/>
      <c r="D88" s="816"/>
      <c r="E88" s="816"/>
      <c r="F88" s="824"/>
      <c r="G88" s="824"/>
      <c r="H88" s="825"/>
      <c r="I88" s="824"/>
      <c r="J88" s="825"/>
      <c r="K88" s="816"/>
      <c r="L88" s="824"/>
      <c r="M88" s="825"/>
      <c r="N88" s="824"/>
      <c r="O88" s="825"/>
    </row>
    <row r="89" spans="1:22" s="138" customFormat="1" ht="15" x14ac:dyDescent="0.25">
      <c r="A89" s="377" t="s">
        <v>1025</v>
      </c>
      <c r="B89" s="826"/>
      <c r="C89" s="816"/>
      <c r="D89" s="816"/>
      <c r="E89" s="816"/>
      <c r="F89" s="824"/>
      <c r="G89" s="824"/>
      <c r="H89" s="825"/>
      <c r="I89" s="824"/>
      <c r="J89" s="825"/>
      <c r="K89" s="816"/>
      <c r="L89" s="824"/>
      <c r="M89" s="825"/>
      <c r="N89" s="824"/>
      <c r="O89" s="825"/>
      <c r="P89" s="287"/>
    </row>
    <row r="90" spans="1:22" s="138" customFormat="1" ht="15" x14ac:dyDescent="0.25">
      <c r="A90" s="256" t="s">
        <v>1026</v>
      </c>
      <c r="B90" s="826"/>
      <c r="C90" s="816"/>
      <c r="D90" s="816"/>
      <c r="E90" s="816"/>
      <c r="F90" s="824"/>
      <c r="G90" s="824"/>
      <c r="H90" s="825"/>
      <c r="I90" s="824"/>
      <c r="J90" s="825"/>
      <c r="K90" s="816"/>
      <c r="L90" s="824"/>
      <c r="M90" s="825"/>
      <c r="N90" s="824"/>
      <c r="O90" s="825"/>
      <c r="P90" s="287"/>
    </row>
    <row r="91" spans="1:22" s="138" customFormat="1" ht="15" x14ac:dyDescent="0.25">
      <c r="A91" s="594" t="s">
        <v>1027</v>
      </c>
      <c r="B91" s="826"/>
      <c r="C91" s="816"/>
      <c r="D91" s="816"/>
      <c r="E91" s="816"/>
      <c r="F91" s="824"/>
      <c r="G91" s="824"/>
      <c r="H91" s="825"/>
      <c r="I91" s="824"/>
      <c r="J91" s="825"/>
      <c r="K91" s="816"/>
      <c r="L91" s="824"/>
      <c r="M91" s="825"/>
      <c r="N91" s="824"/>
      <c r="O91" s="825"/>
      <c r="P91" s="287"/>
    </row>
    <row r="92" spans="1:22" s="138" customFormat="1" ht="15" x14ac:dyDescent="0.25">
      <c r="A92" s="262" t="s">
        <v>5271</v>
      </c>
      <c r="B92" s="826"/>
      <c r="C92" s="816"/>
      <c r="D92" s="816"/>
      <c r="E92" s="816"/>
      <c r="F92" s="824"/>
      <c r="G92" s="824"/>
      <c r="H92" s="825"/>
      <c r="I92" s="824"/>
      <c r="J92" s="825"/>
      <c r="K92" s="816"/>
      <c r="L92" s="824"/>
      <c r="M92" s="825"/>
      <c r="N92" s="824"/>
      <c r="O92" s="825"/>
      <c r="P92" s="287"/>
    </row>
    <row r="93" spans="1:22" s="138" customFormat="1" ht="15" x14ac:dyDescent="0.25">
      <c r="A93" s="262" t="s">
        <v>1</v>
      </c>
      <c r="B93" s="826"/>
      <c r="C93" s="816"/>
      <c r="D93" s="816"/>
      <c r="E93" s="816"/>
      <c r="F93" s="824"/>
      <c r="G93" s="824"/>
      <c r="H93" s="825"/>
      <c r="I93" s="824"/>
      <c r="J93" s="825"/>
      <c r="K93" s="816"/>
      <c r="L93" s="824"/>
      <c r="M93" s="825"/>
      <c r="N93" s="824"/>
      <c r="O93" s="825"/>
      <c r="P93" s="287"/>
    </row>
    <row r="94" spans="1:22" s="138" customFormat="1" ht="15" x14ac:dyDescent="0.25">
      <c r="A94" s="819"/>
      <c r="B94" s="819"/>
      <c r="C94" s="819"/>
      <c r="D94" s="819"/>
      <c r="E94" s="819"/>
      <c r="F94" s="279"/>
      <c r="G94" s="279"/>
      <c r="H94" s="825"/>
      <c r="I94" s="824"/>
      <c r="J94" s="825"/>
      <c r="K94" s="819"/>
      <c r="L94" s="824"/>
      <c r="M94" s="825"/>
      <c r="N94" s="824"/>
      <c r="O94" s="825"/>
      <c r="P94" s="287"/>
    </row>
    <row r="95" spans="1:22" s="138" customFormat="1" ht="15" x14ac:dyDescent="0.25">
      <c r="A95" s="819"/>
      <c r="B95" s="816"/>
      <c r="C95" s="816"/>
      <c r="D95" s="816"/>
      <c r="E95" s="816"/>
      <c r="F95" s="824"/>
      <c r="G95" s="824"/>
      <c r="H95" s="825"/>
      <c r="I95" s="824"/>
      <c r="J95" s="825"/>
      <c r="K95" s="816"/>
      <c r="L95" s="824"/>
      <c r="M95" s="825"/>
      <c r="N95" s="824"/>
      <c r="O95" s="825"/>
      <c r="P95" s="287"/>
    </row>
    <row r="96" spans="1:22" s="138" customFormat="1" ht="15" x14ac:dyDescent="0.25">
      <c r="A96" s="819"/>
      <c r="B96" s="816"/>
      <c r="C96" s="816"/>
      <c r="D96" s="816"/>
      <c r="E96" s="816"/>
      <c r="F96" s="824"/>
      <c r="G96" s="824"/>
      <c r="H96" s="825"/>
      <c r="I96" s="824"/>
      <c r="J96" s="825"/>
      <c r="K96" s="816"/>
      <c r="L96" s="824"/>
      <c r="M96" s="825"/>
      <c r="N96" s="824"/>
      <c r="O96" s="825"/>
      <c r="P96" s="287"/>
    </row>
    <row r="97" spans="1:16" s="138" customFormat="1" ht="15" x14ac:dyDescent="0.25">
      <c r="A97" s="819"/>
      <c r="B97" s="816"/>
      <c r="C97" s="816"/>
      <c r="D97" s="816"/>
      <c r="E97" s="816"/>
      <c r="F97" s="824"/>
      <c r="G97" s="824"/>
      <c r="H97" s="825"/>
      <c r="I97" s="824"/>
      <c r="J97" s="825"/>
      <c r="K97" s="816"/>
      <c r="L97" s="824"/>
      <c r="M97" s="825"/>
      <c r="N97" s="824"/>
      <c r="O97" s="825"/>
      <c r="P97" s="287"/>
    </row>
    <row r="98" spans="1:16" s="138" customFormat="1" ht="15" x14ac:dyDescent="0.25">
      <c r="A98" s="819"/>
      <c r="B98" s="816"/>
      <c r="C98" s="816"/>
      <c r="D98" s="816"/>
      <c r="E98" s="816"/>
      <c r="F98" s="824"/>
      <c r="G98" s="824"/>
      <c r="H98" s="825"/>
      <c r="I98" s="824"/>
      <c r="J98" s="825"/>
      <c r="K98" s="816"/>
      <c r="L98" s="824"/>
      <c r="M98" s="825"/>
      <c r="N98" s="824"/>
      <c r="O98" s="825"/>
      <c r="P98" s="287"/>
    </row>
    <row r="99" spans="1:16" s="138" customFormat="1" ht="15" x14ac:dyDescent="0.25">
      <c r="A99" s="821"/>
      <c r="B99" s="816"/>
      <c r="C99" s="816"/>
      <c r="D99" s="816"/>
      <c r="E99" s="816"/>
      <c r="F99" s="824"/>
      <c r="G99" s="824"/>
      <c r="H99" s="825"/>
      <c r="I99" s="824"/>
      <c r="J99" s="825"/>
      <c r="K99" s="816"/>
      <c r="L99" s="824"/>
      <c r="M99" s="825"/>
      <c r="N99" s="824"/>
      <c r="O99" s="825"/>
      <c r="P99" s="287"/>
    </row>
    <row r="100" spans="1:16" s="138" customFormat="1" ht="15" x14ac:dyDescent="0.25">
      <c r="A100" s="819"/>
      <c r="B100" s="825"/>
      <c r="C100" s="819"/>
      <c r="D100" s="819"/>
      <c r="E100" s="825"/>
      <c r="F100" s="824"/>
      <c r="G100" s="279"/>
      <c r="H100" s="825"/>
      <c r="I100" s="824"/>
      <c r="J100" s="825"/>
      <c r="K100" s="825"/>
      <c r="L100" s="824"/>
      <c r="M100" s="825"/>
      <c r="N100" s="824"/>
      <c r="O100" s="825"/>
      <c r="P100" s="287"/>
    </row>
    <row r="101" spans="1:16" s="138" customFormat="1" ht="15" x14ac:dyDescent="0.25">
      <c r="A101" s="816"/>
      <c r="B101" s="826"/>
      <c r="C101" s="816"/>
      <c r="D101" s="816"/>
      <c r="E101" s="816"/>
      <c r="F101" s="824"/>
      <c r="G101" s="824"/>
      <c r="H101" s="825"/>
      <c r="I101" s="824"/>
      <c r="J101" s="825"/>
      <c r="K101" s="816"/>
      <c r="L101" s="824"/>
      <c r="M101" s="825"/>
      <c r="N101" s="824"/>
      <c r="O101" s="825"/>
      <c r="P101" s="287"/>
    </row>
    <row r="102" spans="1:16" s="138" customFormat="1" ht="15" x14ac:dyDescent="0.25">
      <c r="A102" s="816"/>
      <c r="B102" s="826"/>
      <c r="C102" s="816"/>
      <c r="D102" s="816"/>
      <c r="E102" s="816"/>
      <c r="F102" s="824"/>
      <c r="G102" s="824"/>
      <c r="H102" s="825"/>
      <c r="I102" s="824"/>
      <c r="J102" s="825"/>
      <c r="K102" s="816"/>
      <c r="L102" s="824"/>
      <c r="M102" s="825"/>
      <c r="N102" s="824"/>
      <c r="O102" s="825"/>
      <c r="P102" s="287"/>
    </row>
    <row r="103" spans="1:16" s="138" customFormat="1" ht="15" x14ac:dyDescent="0.25">
      <c r="A103" s="816"/>
      <c r="B103" s="826"/>
      <c r="C103" s="816"/>
      <c r="D103" s="816"/>
      <c r="E103" s="816"/>
      <c r="F103" s="824"/>
      <c r="G103" s="824"/>
      <c r="H103" s="825"/>
      <c r="I103" s="824"/>
      <c r="J103" s="825"/>
      <c r="K103" s="816"/>
      <c r="L103" s="824"/>
      <c r="M103" s="825"/>
      <c r="N103" s="824"/>
      <c r="O103" s="825"/>
      <c r="P103" s="287"/>
    </row>
    <row r="104" spans="1:16" s="138" customFormat="1" ht="15" x14ac:dyDescent="0.25">
      <c r="A104" s="816"/>
      <c r="B104" s="826"/>
      <c r="C104" s="816"/>
      <c r="D104" s="816"/>
      <c r="E104" s="816"/>
      <c r="F104" s="824"/>
      <c r="G104" s="824"/>
      <c r="H104" s="825"/>
      <c r="I104" s="824"/>
      <c r="J104" s="825"/>
      <c r="K104" s="816"/>
      <c r="L104" s="824"/>
      <c r="M104" s="825"/>
      <c r="N104" s="824"/>
      <c r="O104" s="825"/>
      <c r="P104" s="287"/>
    </row>
    <row r="105" spans="1:16" s="138" customFormat="1" x14ac:dyDescent="0.25">
      <c r="A105" s="816"/>
      <c r="B105" s="587"/>
      <c r="C105" s="816"/>
      <c r="D105" s="816"/>
      <c r="E105" s="816"/>
      <c r="F105" s="824"/>
      <c r="G105" s="824"/>
      <c r="H105" s="825"/>
      <c r="I105" s="824"/>
      <c r="J105" s="825"/>
      <c r="K105" s="816"/>
      <c r="L105" s="824"/>
      <c r="M105" s="825"/>
      <c r="N105" s="824"/>
      <c r="O105" s="825"/>
      <c r="P105" s="287"/>
    </row>
    <row r="106" spans="1:16" s="138" customFormat="1" x14ac:dyDescent="0.25">
      <c r="A106" s="816"/>
      <c r="B106" s="587"/>
      <c r="C106" s="816"/>
      <c r="D106" s="816"/>
      <c r="E106" s="816"/>
      <c r="F106" s="824"/>
      <c r="G106" s="824"/>
      <c r="H106" s="825"/>
      <c r="I106" s="824"/>
      <c r="J106" s="825"/>
      <c r="K106" s="816"/>
      <c r="L106" s="824"/>
      <c r="M106" s="825"/>
      <c r="N106" s="824"/>
      <c r="O106" s="825"/>
      <c r="P106" s="287"/>
    </row>
    <row r="107" spans="1:16" s="138" customFormat="1" x14ac:dyDescent="0.25">
      <c r="A107" s="816"/>
      <c r="B107" s="587"/>
      <c r="C107" s="816"/>
      <c r="D107" s="816"/>
      <c r="E107" s="816"/>
      <c r="F107" s="824"/>
      <c r="G107" s="824"/>
      <c r="H107" s="825"/>
      <c r="I107" s="824"/>
      <c r="J107" s="825"/>
      <c r="K107" s="816"/>
      <c r="L107" s="824"/>
      <c r="M107" s="825"/>
      <c r="N107" s="824"/>
      <c r="O107" s="825"/>
      <c r="P107" s="287"/>
    </row>
    <row r="108" spans="1:16" s="138" customFormat="1" x14ac:dyDescent="0.25">
      <c r="A108" s="816"/>
      <c r="B108" s="587"/>
      <c r="C108" s="816"/>
      <c r="D108" s="816"/>
      <c r="E108" s="816"/>
      <c r="F108" s="824"/>
      <c r="G108" s="824"/>
      <c r="H108" s="825"/>
      <c r="I108" s="824"/>
      <c r="J108" s="825"/>
      <c r="K108" s="816"/>
      <c r="L108" s="824"/>
      <c r="M108" s="825"/>
      <c r="N108" s="824"/>
      <c r="O108" s="825"/>
      <c r="P108" s="287"/>
    </row>
    <row r="109" spans="1:16" s="138" customFormat="1" x14ac:dyDescent="0.25">
      <c r="A109" s="816"/>
      <c r="B109" s="587"/>
      <c r="C109" s="816"/>
      <c r="D109" s="816"/>
      <c r="E109" s="816"/>
      <c r="F109" s="824"/>
      <c r="G109" s="824"/>
      <c r="H109" s="825"/>
      <c r="I109" s="824"/>
      <c r="J109" s="825"/>
      <c r="K109" s="816"/>
      <c r="L109" s="824"/>
      <c r="M109" s="825"/>
      <c r="N109" s="824"/>
      <c r="O109" s="825"/>
      <c r="P109" s="287"/>
    </row>
    <row r="110" spans="1:16" s="138" customFormat="1" x14ac:dyDescent="0.25">
      <c r="A110" s="816"/>
      <c r="B110" s="587"/>
      <c r="C110" s="816"/>
      <c r="D110" s="816"/>
      <c r="E110" s="816"/>
      <c r="F110" s="824"/>
      <c r="G110" s="824"/>
      <c r="H110" s="825"/>
      <c r="I110" s="824"/>
      <c r="J110" s="825"/>
      <c r="K110" s="816"/>
      <c r="L110" s="824"/>
      <c r="M110" s="825"/>
      <c r="N110" s="824"/>
      <c r="O110" s="825"/>
      <c r="P110" s="287"/>
    </row>
    <row r="111" spans="1:16" s="138" customFormat="1" x14ac:dyDescent="0.25">
      <c r="A111" s="816"/>
      <c r="B111" s="587"/>
      <c r="C111" s="816"/>
      <c r="D111" s="816"/>
      <c r="E111" s="816"/>
      <c r="F111" s="824"/>
      <c r="G111" s="824"/>
      <c r="H111" s="825"/>
      <c r="I111" s="824"/>
      <c r="J111" s="825"/>
      <c r="K111" s="816"/>
      <c r="L111" s="824"/>
      <c r="M111" s="825"/>
      <c r="N111" s="824"/>
      <c r="O111" s="825"/>
      <c r="P111" s="287"/>
    </row>
    <row r="112" spans="1:16" s="138" customFormat="1" x14ac:dyDescent="0.25">
      <c r="A112" s="816"/>
      <c r="B112" s="587"/>
      <c r="C112" s="816"/>
      <c r="D112" s="816"/>
      <c r="E112" s="816"/>
      <c r="F112" s="824"/>
      <c r="G112" s="824"/>
      <c r="H112" s="825"/>
      <c r="I112" s="824"/>
      <c r="J112" s="825"/>
      <c r="K112" s="816"/>
      <c r="L112" s="824"/>
      <c r="M112" s="825"/>
      <c r="N112" s="824"/>
      <c r="O112" s="825"/>
      <c r="P112" s="287"/>
    </row>
    <row r="113" spans="1:16" s="138" customFormat="1" x14ac:dyDescent="0.25">
      <c r="A113" s="816"/>
      <c r="B113" s="587"/>
      <c r="C113" s="816"/>
      <c r="D113" s="816"/>
      <c r="E113" s="816"/>
      <c r="F113" s="824"/>
      <c r="G113" s="824"/>
      <c r="H113" s="825"/>
      <c r="I113" s="824"/>
      <c r="J113" s="825"/>
      <c r="K113" s="816"/>
      <c r="L113" s="824"/>
      <c r="M113" s="825"/>
      <c r="N113" s="824"/>
      <c r="O113" s="825"/>
      <c r="P113" s="287"/>
    </row>
    <row r="114" spans="1:16" s="138" customFormat="1" x14ac:dyDescent="0.25">
      <c r="A114" s="816"/>
      <c r="B114" s="587"/>
      <c r="C114" s="816"/>
      <c r="D114" s="816"/>
      <c r="E114" s="816"/>
      <c r="F114" s="824"/>
      <c r="G114" s="824"/>
      <c r="H114" s="825"/>
      <c r="I114" s="824"/>
      <c r="J114" s="825"/>
      <c r="K114" s="816"/>
      <c r="L114" s="824"/>
      <c r="M114" s="825"/>
      <c r="N114" s="824"/>
      <c r="O114" s="825"/>
      <c r="P114" s="287"/>
    </row>
    <row r="115" spans="1:16" s="138" customFormat="1" x14ac:dyDescent="0.25">
      <c r="A115" s="816"/>
      <c r="B115" s="587"/>
      <c r="C115" s="816"/>
      <c r="D115" s="816"/>
      <c r="E115" s="816"/>
      <c r="F115" s="824"/>
      <c r="G115" s="824"/>
      <c r="H115" s="825"/>
      <c r="I115" s="824"/>
      <c r="J115" s="825"/>
      <c r="K115" s="816"/>
      <c r="L115" s="824"/>
      <c r="M115" s="825"/>
      <c r="N115" s="824"/>
      <c r="O115" s="825"/>
      <c r="P115" s="287"/>
    </row>
    <row r="116" spans="1:16" s="138" customFormat="1" x14ac:dyDescent="0.25">
      <c r="A116" s="816"/>
      <c r="B116" s="587"/>
      <c r="C116" s="816"/>
      <c r="D116" s="816"/>
      <c r="E116" s="816"/>
      <c r="F116" s="824"/>
      <c r="G116" s="824"/>
      <c r="H116" s="825"/>
      <c r="I116" s="824"/>
      <c r="J116" s="825"/>
      <c r="K116" s="816"/>
      <c r="L116" s="824"/>
      <c r="M116" s="825"/>
      <c r="N116" s="824"/>
      <c r="O116" s="825"/>
      <c r="P116" s="287"/>
    </row>
    <row r="117" spans="1:16" s="138" customFormat="1" x14ac:dyDescent="0.25">
      <c r="A117" s="816"/>
      <c r="B117" s="587"/>
      <c r="C117" s="816"/>
      <c r="D117" s="816"/>
      <c r="E117" s="816"/>
      <c r="F117" s="824"/>
      <c r="G117" s="824"/>
      <c r="H117" s="825"/>
      <c r="I117" s="824"/>
      <c r="J117" s="825"/>
      <c r="K117" s="816"/>
      <c r="L117" s="824"/>
      <c r="M117" s="825"/>
      <c r="N117" s="824"/>
      <c r="O117" s="825"/>
      <c r="P117" s="287"/>
    </row>
    <row r="118" spans="1:16" s="138" customFormat="1" x14ac:dyDescent="0.25">
      <c r="A118" s="816"/>
      <c r="B118" s="587"/>
      <c r="C118" s="816"/>
      <c r="D118" s="816"/>
      <c r="E118" s="816"/>
      <c r="F118" s="824"/>
      <c r="G118" s="824"/>
      <c r="H118" s="825"/>
      <c r="I118" s="824"/>
      <c r="J118" s="825"/>
      <c r="K118" s="816"/>
      <c r="L118" s="824"/>
      <c r="M118" s="825"/>
      <c r="N118" s="824"/>
      <c r="O118" s="825"/>
      <c r="P118" s="287"/>
    </row>
    <row r="119" spans="1:16" s="138" customFormat="1" x14ac:dyDescent="0.25">
      <c r="A119" s="816"/>
      <c r="B119" s="587"/>
      <c r="C119" s="816"/>
      <c r="D119" s="816"/>
      <c r="E119" s="816"/>
      <c r="F119" s="824"/>
      <c r="G119" s="824"/>
      <c r="H119" s="825"/>
      <c r="I119" s="824"/>
      <c r="J119" s="825"/>
      <c r="K119" s="816"/>
      <c r="L119" s="824"/>
      <c r="M119" s="825"/>
      <c r="N119" s="824"/>
      <c r="O119" s="825"/>
      <c r="P119" s="287"/>
    </row>
    <row r="120" spans="1:16" s="138" customFormat="1" x14ac:dyDescent="0.25">
      <c r="A120" s="816"/>
      <c r="B120" s="587"/>
      <c r="C120" s="816"/>
      <c r="D120" s="816"/>
      <c r="E120" s="816"/>
      <c r="F120" s="824"/>
      <c r="G120" s="824"/>
      <c r="H120" s="825"/>
      <c r="I120" s="824"/>
      <c r="J120" s="825"/>
      <c r="K120" s="816"/>
      <c r="L120" s="824"/>
      <c r="M120" s="825"/>
      <c r="N120" s="824"/>
      <c r="O120" s="825"/>
      <c r="P120" s="287"/>
    </row>
    <row r="121" spans="1:16" s="138" customFormat="1" x14ac:dyDescent="0.25">
      <c r="A121" s="816"/>
      <c r="B121" s="587"/>
      <c r="C121" s="816"/>
      <c r="D121" s="816"/>
      <c r="E121" s="816"/>
      <c r="F121" s="824"/>
      <c r="G121" s="824"/>
      <c r="H121" s="825"/>
      <c r="I121" s="824"/>
      <c r="J121" s="825"/>
      <c r="K121" s="816"/>
      <c r="L121" s="824"/>
      <c r="M121" s="825"/>
      <c r="N121" s="824"/>
      <c r="O121" s="825"/>
      <c r="P121" s="287"/>
    </row>
    <row r="122" spans="1:16" s="138" customFormat="1" x14ac:dyDescent="0.25">
      <c r="A122" s="816"/>
      <c r="B122" s="587"/>
      <c r="C122" s="816"/>
      <c r="D122" s="816"/>
      <c r="E122" s="816"/>
      <c r="F122" s="824"/>
      <c r="G122" s="824"/>
      <c r="H122" s="825"/>
      <c r="I122" s="824"/>
      <c r="J122" s="825"/>
      <c r="K122" s="816"/>
      <c r="L122" s="824"/>
      <c r="M122" s="825"/>
      <c r="N122" s="824"/>
      <c r="O122" s="825"/>
      <c r="P122" s="287"/>
    </row>
    <row r="123" spans="1:16" s="138" customFormat="1" x14ac:dyDescent="0.25">
      <c r="A123" s="816"/>
      <c r="B123" s="587"/>
      <c r="C123" s="816"/>
      <c r="D123" s="816"/>
      <c r="E123" s="816"/>
      <c r="F123" s="824"/>
      <c r="G123" s="824"/>
      <c r="H123" s="825"/>
      <c r="I123" s="824"/>
      <c r="J123" s="825"/>
      <c r="K123" s="816"/>
      <c r="L123" s="824"/>
      <c r="M123" s="825"/>
      <c r="N123" s="824"/>
      <c r="O123" s="825"/>
      <c r="P123" s="287"/>
    </row>
    <row r="124" spans="1:16" s="138" customFormat="1" x14ac:dyDescent="0.25">
      <c r="A124" s="816"/>
      <c r="B124" s="587"/>
      <c r="C124" s="816"/>
      <c r="D124" s="816"/>
      <c r="E124" s="816"/>
      <c r="F124" s="824"/>
      <c r="G124" s="824"/>
      <c r="H124" s="825"/>
      <c r="I124" s="824"/>
      <c r="J124" s="825"/>
      <c r="K124" s="816"/>
      <c r="L124" s="824"/>
      <c r="M124" s="825"/>
      <c r="N124" s="824"/>
      <c r="O124" s="825"/>
      <c r="P124" s="287"/>
    </row>
    <row r="125" spans="1:16" s="138" customFormat="1" x14ac:dyDescent="0.25">
      <c r="A125" s="816"/>
      <c r="B125" s="587"/>
      <c r="C125" s="816"/>
      <c r="D125" s="816"/>
      <c r="E125" s="816"/>
      <c r="F125" s="824"/>
      <c r="G125" s="824"/>
      <c r="H125" s="825"/>
      <c r="I125" s="824"/>
      <c r="J125" s="825"/>
      <c r="K125" s="816"/>
      <c r="L125" s="824"/>
      <c r="M125" s="825"/>
      <c r="N125" s="824"/>
      <c r="O125" s="825"/>
      <c r="P125" s="287"/>
    </row>
    <row r="126" spans="1:16" s="138" customFormat="1" x14ac:dyDescent="0.25">
      <c r="A126" s="816"/>
      <c r="B126" s="587"/>
      <c r="C126" s="816"/>
      <c r="D126" s="816"/>
      <c r="E126" s="816"/>
      <c r="F126" s="824"/>
      <c r="G126" s="824"/>
      <c r="H126" s="825"/>
      <c r="I126" s="824"/>
      <c r="J126" s="825"/>
      <c r="K126" s="816"/>
      <c r="L126" s="824"/>
      <c r="M126" s="825"/>
      <c r="N126" s="824"/>
      <c r="O126" s="825"/>
      <c r="P126" s="287"/>
    </row>
    <row r="127" spans="1:16" s="138" customFormat="1" x14ac:dyDescent="0.25">
      <c r="A127" s="816"/>
      <c r="B127" s="587"/>
      <c r="C127" s="816"/>
      <c r="D127" s="816"/>
      <c r="E127" s="816"/>
      <c r="F127" s="824"/>
      <c r="G127" s="824"/>
      <c r="H127" s="825"/>
      <c r="I127" s="824"/>
      <c r="J127" s="825"/>
      <c r="K127" s="816"/>
      <c r="L127" s="824"/>
      <c r="M127" s="825"/>
      <c r="N127" s="824"/>
      <c r="O127" s="825"/>
      <c r="P127" s="287"/>
    </row>
    <row r="128" spans="1:16" s="138" customFormat="1" x14ac:dyDescent="0.25">
      <c r="A128" s="816"/>
      <c r="B128" s="587"/>
      <c r="C128" s="816"/>
      <c r="D128" s="816"/>
      <c r="E128" s="816"/>
      <c r="F128" s="824"/>
      <c r="G128" s="824"/>
      <c r="H128" s="825"/>
      <c r="I128" s="824"/>
      <c r="J128" s="825"/>
      <c r="K128" s="816"/>
      <c r="L128" s="824"/>
      <c r="M128" s="825"/>
      <c r="N128" s="824"/>
      <c r="O128" s="825"/>
      <c r="P128" s="287"/>
    </row>
    <row r="129" spans="1:16" s="138" customFormat="1" x14ac:dyDescent="0.25">
      <c r="A129" s="816"/>
      <c r="B129" s="587"/>
      <c r="C129" s="816"/>
      <c r="D129" s="816"/>
      <c r="E129" s="816"/>
      <c r="F129" s="824"/>
      <c r="G129" s="824"/>
      <c r="H129" s="825"/>
      <c r="I129" s="824"/>
      <c r="J129" s="825"/>
      <c r="K129" s="816"/>
      <c r="L129" s="824"/>
      <c r="M129" s="825"/>
      <c r="N129" s="824"/>
      <c r="O129" s="825"/>
      <c r="P129" s="287"/>
    </row>
    <row r="130" spans="1:16" s="138" customFormat="1" x14ac:dyDescent="0.25">
      <c r="A130" s="816"/>
      <c r="B130" s="587"/>
      <c r="C130" s="816"/>
      <c r="D130" s="816"/>
      <c r="E130" s="816"/>
      <c r="F130" s="824"/>
      <c r="G130" s="824"/>
      <c r="H130" s="825"/>
      <c r="I130" s="824"/>
      <c r="J130" s="825"/>
      <c r="K130" s="816"/>
      <c r="L130" s="824"/>
      <c r="M130" s="825"/>
      <c r="N130" s="824"/>
      <c r="O130" s="825"/>
      <c r="P130" s="287"/>
    </row>
    <row r="131" spans="1:16" s="138" customFormat="1" x14ac:dyDescent="0.25">
      <c r="A131" s="816"/>
      <c r="B131" s="587"/>
      <c r="C131" s="816"/>
      <c r="D131" s="816"/>
      <c r="E131" s="816"/>
      <c r="F131" s="824"/>
      <c r="G131" s="824"/>
      <c r="H131" s="825"/>
      <c r="I131" s="824"/>
      <c r="J131" s="825"/>
      <c r="K131" s="816"/>
      <c r="L131" s="824"/>
      <c r="M131" s="825"/>
      <c r="N131" s="824"/>
      <c r="O131" s="825"/>
      <c r="P131" s="287"/>
    </row>
    <row r="132" spans="1:16" s="138" customFormat="1" x14ac:dyDescent="0.25">
      <c r="A132" s="816"/>
      <c r="B132" s="587"/>
      <c r="C132" s="816"/>
      <c r="D132" s="816"/>
      <c r="E132" s="816"/>
      <c r="F132" s="824"/>
      <c r="G132" s="824"/>
      <c r="H132" s="825"/>
      <c r="I132" s="824"/>
      <c r="J132" s="825"/>
      <c r="K132" s="816"/>
      <c r="L132" s="824"/>
      <c r="M132" s="825"/>
      <c r="N132" s="824"/>
      <c r="O132" s="825"/>
      <c r="P132" s="287"/>
    </row>
    <row r="133" spans="1:16" s="138" customFormat="1" x14ac:dyDescent="0.25">
      <c r="A133" s="816"/>
      <c r="B133" s="587"/>
      <c r="C133" s="816"/>
      <c r="D133" s="816"/>
      <c r="E133" s="816"/>
      <c r="F133" s="824"/>
      <c r="G133" s="824"/>
      <c r="H133" s="825"/>
      <c r="I133" s="824"/>
      <c r="J133" s="825"/>
      <c r="K133" s="816"/>
      <c r="L133" s="824"/>
      <c r="M133" s="825"/>
      <c r="N133" s="824"/>
      <c r="O133" s="825"/>
      <c r="P133" s="287"/>
    </row>
    <row r="134" spans="1:16" s="138" customFormat="1" x14ac:dyDescent="0.25">
      <c r="A134" s="816"/>
      <c r="B134" s="587"/>
      <c r="C134" s="816"/>
      <c r="D134" s="816"/>
      <c r="E134" s="816"/>
      <c r="F134" s="824"/>
      <c r="G134" s="824"/>
      <c r="H134" s="825"/>
      <c r="I134" s="824"/>
      <c r="J134" s="825"/>
      <c r="K134" s="816"/>
      <c r="L134" s="824"/>
      <c r="M134" s="825"/>
      <c r="N134" s="824"/>
      <c r="O134" s="825"/>
      <c r="P134" s="287"/>
    </row>
    <row r="135" spans="1:16" s="138" customFormat="1" x14ac:dyDescent="0.25">
      <c r="A135" s="816"/>
      <c r="B135" s="587"/>
      <c r="C135" s="816"/>
      <c r="D135" s="816"/>
      <c r="E135" s="816"/>
      <c r="F135" s="824"/>
      <c r="G135" s="824"/>
      <c r="H135" s="825"/>
      <c r="I135" s="824"/>
      <c r="J135" s="825"/>
      <c r="K135" s="816"/>
      <c r="L135" s="824"/>
      <c r="M135" s="825"/>
      <c r="N135" s="824"/>
      <c r="O135" s="825"/>
      <c r="P135" s="287"/>
    </row>
    <row r="136" spans="1:16" s="138" customFormat="1" x14ac:dyDescent="0.25">
      <c r="A136" s="816"/>
      <c r="B136" s="587"/>
      <c r="C136" s="816"/>
      <c r="D136" s="816"/>
      <c r="E136" s="816"/>
      <c r="F136" s="824"/>
      <c r="G136" s="824"/>
      <c r="H136" s="825"/>
      <c r="I136" s="824"/>
      <c r="J136" s="825"/>
      <c r="K136" s="816"/>
      <c r="L136" s="824"/>
      <c r="M136" s="825"/>
      <c r="N136" s="824"/>
      <c r="O136" s="825"/>
      <c r="P136" s="287"/>
    </row>
    <row r="137" spans="1:16" s="138" customFormat="1" x14ac:dyDescent="0.25">
      <c r="A137" s="816"/>
      <c r="B137" s="587"/>
      <c r="C137" s="816"/>
      <c r="D137" s="816"/>
      <c r="E137" s="816"/>
      <c r="F137" s="824"/>
      <c r="G137" s="824"/>
      <c r="H137" s="825"/>
      <c r="I137" s="824"/>
      <c r="J137" s="825"/>
      <c r="K137" s="816"/>
      <c r="L137" s="824"/>
      <c r="M137" s="825"/>
      <c r="N137" s="824"/>
      <c r="O137" s="825"/>
      <c r="P137" s="287"/>
    </row>
    <row r="138" spans="1:16" s="138" customFormat="1" x14ac:dyDescent="0.25">
      <c r="A138" s="816"/>
      <c r="B138" s="587"/>
      <c r="C138" s="816"/>
      <c r="D138" s="816"/>
      <c r="E138" s="816"/>
      <c r="F138" s="824"/>
      <c r="G138" s="824"/>
      <c r="H138" s="825"/>
      <c r="I138" s="824"/>
      <c r="J138" s="825"/>
      <c r="K138" s="816"/>
      <c r="L138" s="824"/>
      <c r="M138" s="825"/>
      <c r="N138" s="824"/>
      <c r="O138" s="825"/>
      <c r="P138" s="287"/>
    </row>
    <row r="139" spans="1:16" s="138" customFormat="1" x14ac:dyDescent="0.25">
      <c r="A139" s="816"/>
      <c r="B139" s="587"/>
      <c r="C139" s="816"/>
      <c r="D139" s="816"/>
      <c r="E139" s="816"/>
      <c r="F139" s="824"/>
      <c r="G139" s="824"/>
      <c r="H139" s="825"/>
      <c r="I139" s="824"/>
      <c r="J139" s="825"/>
      <c r="K139" s="816"/>
      <c r="L139" s="824"/>
      <c r="M139" s="825"/>
      <c r="N139" s="824"/>
      <c r="O139" s="825"/>
      <c r="P139" s="287"/>
    </row>
    <row r="140" spans="1:16" s="138" customFormat="1" x14ac:dyDescent="0.25">
      <c r="A140" s="816"/>
      <c r="B140" s="587"/>
      <c r="C140" s="816"/>
      <c r="D140" s="816"/>
      <c r="E140" s="816"/>
      <c r="F140" s="824"/>
      <c r="G140" s="824"/>
      <c r="H140" s="825"/>
      <c r="I140" s="824"/>
      <c r="J140" s="825"/>
      <c r="K140" s="816"/>
      <c r="L140" s="824"/>
      <c r="M140" s="825"/>
      <c r="N140" s="824"/>
      <c r="O140" s="825"/>
      <c r="P140" s="287"/>
    </row>
    <row r="141" spans="1:16" s="138" customFormat="1" x14ac:dyDescent="0.25">
      <c r="A141" s="816"/>
      <c r="B141" s="587"/>
      <c r="C141" s="816"/>
      <c r="D141" s="816"/>
      <c r="E141" s="816"/>
      <c r="F141" s="824"/>
      <c r="G141" s="824"/>
      <c r="H141" s="825"/>
      <c r="I141" s="824"/>
      <c r="J141" s="825"/>
      <c r="K141" s="816"/>
      <c r="L141" s="824"/>
      <c r="M141" s="825"/>
      <c r="N141" s="824"/>
      <c r="O141" s="825"/>
      <c r="P141" s="287"/>
    </row>
    <row r="142" spans="1:16" s="138" customFormat="1" x14ac:dyDescent="0.25">
      <c r="A142" s="816"/>
      <c r="B142" s="587"/>
      <c r="C142" s="816"/>
      <c r="D142" s="816"/>
      <c r="E142" s="816"/>
      <c r="F142" s="824"/>
      <c r="G142" s="824"/>
      <c r="H142" s="825"/>
      <c r="I142" s="824"/>
      <c r="J142" s="825"/>
      <c r="K142" s="816"/>
      <c r="L142" s="824"/>
      <c r="M142" s="825"/>
      <c r="N142" s="824"/>
      <c r="O142" s="825"/>
      <c r="P142" s="287"/>
    </row>
    <row r="143" spans="1:16" s="138" customFormat="1" x14ac:dyDescent="0.25">
      <c r="A143" s="816"/>
      <c r="B143" s="587"/>
      <c r="C143" s="816"/>
      <c r="D143" s="816"/>
      <c r="E143" s="816"/>
      <c r="F143" s="824"/>
      <c r="G143" s="824"/>
      <c r="H143" s="825"/>
      <c r="I143" s="824"/>
      <c r="J143" s="825"/>
      <c r="K143" s="816"/>
      <c r="L143" s="824"/>
      <c r="M143" s="825"/>
      <c r="N143" s="824"/>
      <c r="O143" s="825"/>
      <c r="P143" s="287"/>
    </row>
    <row r="144" spans="1:16" s="138" customFormat="1" x14ac:dyDescent="0.25">
      <c r="A144" s="816"/>
      <c r="B144" s="587"/>
      <c r="C144" s="816"/>
      <c r="D144" s="816"/>
      <c r="E144" s="816"/>
      <c r="F144" s="824"/>
      <c r="G144" s="824"/>
      <c r="H144" s="825"/>
      <c r="I144" s="824"/>
      <c r="J144" s="825"/>
      <c r="K144" s="816"/>
      <c r="L144" s="824"/>
      <c r="M144" s="825"/>
      <c r="N144" s="824"/>
      <c r="O144" s="825"/>
      <c r="P144" s="287"/>
    </row>
    <row r="145" spans="1:16" s="138" customFormat="1" x14ac:dyDescent="0.25">
      <c r="A145" s="816"/>
      <c r="B145" s="587"/>
      <c r="C145" s="816"/>
      <c r="D145" s="816"/>
      <c r="E145" s="816"/>
      <c r="F145" s="824"/>
      <c r="G145" s="824"/>
      <c r="H145" s="825"/>
      <c r="I145" s="824"/>
      <c r="J145" s="825"/>
      <c r="K145" s="816"/>
      <c r="L145" s="824"/>
      <c r="M145" s="825"/>
      <c r="N145" s="824"/>
      <c r="O145" s="825"/>
      <c r="P145" s="287"/>
    </row>
    <row r="146" spans="1:16" s="138" customFormat="1" x14ac:dyDescent="0.25">
      <c r="A146" s="816"/>
      <c r="B146" s="587"/>
      <c r="C146" s="816"/>
      <c r="D146" s="816"/>
      <c r="E146" s="816"/>
      <c r="F146" s="824"/>
      <c r="G146" s="824"/>
      <c r="H146" s="825"/>
      <c r="I146" s="824"/>
      <c r="J146" s="825"/>
      <c r="K146" s="816"/>
      <c r="L146" s="824"/>
      <c r="M146" s="825"/>
      <c r="N146" s="824"/>
      <c r="O146" s="825"/>
      <c r="P146" s="287"/>
    </row>
    <row r="147" spans="1:16" s="138" customFormat="1" x14ac:dyDescent="0.25">
      <c r="A147" s="816"/>
      <c r="B147" s="587"/>
      <c r="C147" s="816"/>
      <c r="D147" s="816"/>
      <c r="E147" s="816"/>
      <c r="F147" s="824"/>
      <c r="G147" s="824"/>
      <c r="H147" s="825"/>
      <c r="I147" s="824"/>
      <c r="J147" s="825"/>
      <c r="K147" s="816"/>
      <c r="L147" s="824"/>
      <c r="M147" s="825"/>
      <c r="N147" s="824"/>
      <c r="O147" s="825"/>
      <c r="P147" s="287"/>
    </row>
    <row r="148" spans="1:16" s="138" customFormat="1" x14ac:dyDescent="0.25">
      <c r="A148" s="816"/>
      <c r="B148" s="587"/>
      <c r="C148" s="816"/>
      <c r="D148" s="816"/>
      <c r="E148" s="816"/>
      <c r="F148" s="824"/>
      <c r="G148" s="824"/>
      <c r="H148" s="825"/>
      <c r="I148" s="824"/>
      <c r="J148" s="825"/>
      <c r="K148" s="816"/>
      <c r="L148" s="824"/>
      <c r="M148" s="825"/>
      <c r="N148" s="824"/>
      <c r="O148" s="825"/>
      <c r="P148" s="287"/>
    </row>
    <row r="149" spans="1:16" s="138" customFormat="1" x14ac:dyDescent="0.25">
      <c r="A149" s="816"/>
      <c r="B149" s="587"/>
      <c r="C149" s="816"/>
      <c r="D149" s="816"/>
      <c r="E149" s="816"/>
      <c r="F149" s="824"/>
      <c r="G149" s="824"/>
      <c r="H149" s="825"/>
      <c r="I149" s="824"/>
      <c r="J149" s="825"/>
      <c r="K149" s="816"/>
      <c r="L149" s="824"/>
      <c r="M149" s="825"/>
      <c r="N149" s="824"/>
      <c r="O149" s="825"/>
      <c r="P149" s="287"/>
    </row>
    <row r="150" spans="1:16" s="138" customFormat="1" x14ac:dyDescent="0.25">
      <c r="A150" s="816"/>
      <c r="B150" s="587"/>
      <c r="C150" s="816"/>
      <c r="D150" s="816"/>
      <c r="E150" s="816"/>
      <c r="F150" s="824"/>
      <c r="G150" s="824"/>
      <c r="H150" s="825"/>
      <c r="I150" s="824"/>
      <c r="J150" s="825"/>
      <c r="K150" s="816"/>
      <c r="L150" s="824"/>
      <c r="M150" s="825"/>
      <c r="N150" s="824"/>
      <c r="O150" s="825"/>
      <c r="P150" s="287"/>
    </row>
    <row r="151" spans="1:16" s="138" customFormat="1" x14ac:dyDescent="0.25">
      <c r="A151" s="816"/>
      <c r="B151" s="587"/>
      <c r="C151" s="816"/>
      <c r="D151" s="816"/>
      <c r="E151" s="816"/>
      <c r="F151" s="824"/>
      <c r="G151" s="824"/>
      <c r="H151" s="825"/>
      <c r="I151" s="824"/>
      <c r="J151" s="825"/>
      <c r="K151" s="816"/>
      <c r="L151" s="824"/>
      <c r="M151" s="825"/>
      <c r="N151" s="824"/>
      <c r="O151" s="825"/>
      <c r="P151" s="287"/>
    </row>
    <row r="152" spans="1:16" s="138" customFormat="1" x14ac:dyDescent="0.25">
      <c r="A152" s="816"/>
      <c r="B152" s="587"/>
      <c r="C152" s="816"/>
      <c r="D152" s="816"/>
      <c r="E152" s="816"/>
      <c r="F152" s="824"/>
      <c r="G152" s="824"/>
      <c r="H152" s="825"/>
      <c r="I152" s="824"/>
      <c r="J152" s="825"/>
      <c r="K152" s="816"/>
      <c r="L152" s="824"/>
      <c r="M152" s="825"/>
      <c r="N152" s="824"/>
      <c r="O152" s="825"/>
      <c r="P152" s="287"/>
    </row>
    <row r="153" spans="1:16" s="138" customFormat="1" x14ac:dyDescent="0.25">
      <c r="A153" s="816"/>
      <c r="B153" s="587"/>
      <c r="C153" s="816"/>
      <c r="D153" s="816"/>
      <c r="E153" s="816"/>
      <c r="F153" s="824"/>
      <c r="G153" s="824"/>
      <c r="H153" s="825"/>
      <c r="I153" s="824"/>
      <c r="J153" s="825"/>
      <c r="K153" s="816"/>
      <c r="L153" s="824"/>
      <c r="M153" s="825"/>
      <c r="N153" s="824"/>
      <c r="O153" s="825"/>
      <c r="P153" s="287"/>
    </row>
    <row r="154" spans="1:16" s="138" customFormat="1" x14ac:dyDescent="0.25">
      <c r="A154" s="816"/>
      <c r="B154" s="587"/>
      <c r="C154" s="816"/>
      <c r="D154" s="816"/>
      <c r="E154" s="816"/>
      <c r="F154" s="824"/>
      <c r="G154" s="824"/>
      <c r="H154" s="825"/>
      <c r="I154" s="824"/>
      <c r="J154" s="825"/>
      <c r="K154" s="816"/>
      <c r="L154" s="824"/>
      <c r="M154" s="825"/>
      <c r="N154" s="824"/>
      <c r="O154" s="825"/>
      <c r="P154" s="287"/>
    </row>
    <row r="155" spans="1:16" s="138" customFormat="1" x14ac:dyDescent="0.25">
      <c r="A155" s="816"/>
      <c r="B155" s="587"/>
      <c r="C155" s="816"/>
      <c r="D155" s="816"/>
      <c r="E155" s="816"/>
      <c r="F155" s="824"/>
      <c r="G155" s="824"/>
      <c r="H155" s="825"/>
      <c r="I155" s="824"/>
      <c r="J155" s="825"/>
      <c r="K155" s="816"/>
      <c r="L155" s="824"/>
      <c r="M155" s="825"/>
      <c r="N155" s="824"/>
      <c r="O155" s="825"/>
      <c r="P155" s="287"/>
    </row>
    <row r="156" spans="1:16" s="138" customFormat="1" x14ac:dyDescent="0.25">
      <c r="A156" s="816"/>
      <c r="B156" s="587"/>
      <c r="C156" s="816"/>
      <c r="D156" s="816"/>
      <c r="E156" s="816"/>
      <c r="F156" s="824"/>
      <c r="G156" s="824"/>
      <c r="H156" s="825"/>
      <c r="I156" s="824"/>
      <c r="J156" s="825"/>
      <c r="K156" s="816"/>
      <c r="L156" s="824"/>
      <c r="M156" s="825"/>
      <c r="N156" s="824"/>
      <c r="O156" s="825"/>
      <c r="P156" s="287"/>
    </row>
    <row r="157" spans="1:16" s="138" customFormat="1" x14ac:dyDescent="0.25">
      <c r="A157" s="816"/>
      <c r="B157" s="587"/>
      <c r="C157" s="816"/>
      <c r="D157" s="816"/>
      <c r="E157" s="816"/>
      <c r="F157" s="824"/>
      <c r="G157" s="824"/>
      <c r="H157" s="825"/>
      <c r="I157" s="824"/>
      <c r="J157" s="825"/>
      <c r="K157" s="816"/>
      <c r="L157" s="824"/>
      <c r="M157" s="825"/>
      <c r="N157" s="824"/>
      <c r="O157" s="825"/>
      <c r="P157" s="287"/>
    </row>
    <row r="158" spans="1:16" s="138" customFormat="1" x14ac:dyDescent="0.25">
      <c r="A158" s="816"/>
      <c r="B158" s="587"/>
      <c r="C158" s="816"/>
      <c r="D158" s="816"/>
      <c r="E158" s="816"/>
      <c r="F158" s="824"/>
      <c r="G158" s="824"/>
      <c r="H158" s="825"/>
      <c r="I158" s="824"/>
      <c r="J158" s="825"/>
      <c r="K158" s="816"/>
      <c r="L158" s="824"/>
      <c r="M158" s="825"/>
      <c r="N158" s="824"/>
      <c r="O158" s="825"/>
      <c r="P158" s="287"/>
    </row>
    <row r="159" spans="1:16" s="138" customFormat="1" x14ac:dyDescent="0.25">
      <c r="A159" s="816"/>
      <c r="B159" s="587"/>
      <c r="C159" s="816"/>
      <c r="D159" s="816"/>
      <c r="E159" s="816"/>
      <c r="F159" s="824"/>
      <c r="G159" s="824"/>
      <c r="H159" s="825"/>
      <c r="I159" s="824"/>
      <c r="J159" s="825"/>
      <c r="K159" s="816"/>
      <c r="L159" s="824"/>
      <c r="M159" s="825"/>
      <c r="N159" s="824"/>
      <c r="O159" s="825"/>
      <c r="P159" s="287"/>
    </row>
    <row r="160" spans="1:16" s="138" customFormat="1" x14ac:dyDescent="0.25">
      <c r="A160" s="816"/>
      <c r="B160" s="587"/>
      <c r="C160" s="816"/>
      <c r="D160" s="816"/>
      <c r="E160" s="816"/>
      <c r="F160" s="824"/>
      <c r="G160" s="824"/>
      <c r="H160" s="825"/>
      <c r="I160" s="824"/>
      <c r="J160" s="825"/>
      <c r="K160" s="816"/>
      <c r="L160" s="824"/>
      <c r="M160" s="825"/>
      <c r="N160" s="824"/>
      <c r="O160" s="825"/>
      <c r="P160" s="287"/>
    </row>
    <row r="161" spans="1:16" s="138" customFormat="1" x14ac:dyDescent="0.25">
      <c r="A161" s="816"/>
      <c r="B161" s="587"/>
      <c r="C161" s="816"/>
      <c r="D161" s="816"/>
      <c r="E161" s="816"/>
      <c r="F161" s="824"/>
      <c r="G161" s="824"/>
      <c r="H161" s="825"/>
      <c r="I161" s="824"/>
      <c r="J161" s="825"/>
      <c r="K161" s="816"/>
      <c r="L161" s="824"/>
      <c r="M161" s="825"/>
      <c r="N161" s="824"/>
      <c r="O161" s="825"/>
      <c r="P161" s="287"/>
    </row>
    <row r="162" spans="1:16" s="138" customFormat="1" x14ac:dyDescent="0.25">
      <c r="A162" s="816"/>
      <c r="B162" s="587"/>
      <c r="C162" s="816"/>
      <c r="D162" s="816"/>
      <c r="E162" s="816"/>
      <c r="F162" s="824"/>
      <c r="G162" s="824"/>
      <c r="H162" s="825"/>
      <c r="I162" s="824"/>
      <c r="J162" s="825"/>
      <c r="K162" s="816"/>
      <c r="L162" s="824"/>
      <c r="M162" s="825"/>
      <c r="N162" s="824"/>
      <c r="O162" s="825"/>
      <c r="P162" s="287"/>
    </row>
    <row r="163" spans="1:16" s="138" customFormat="1" x14ac:dyDescent="0.25">
      <c r="A163" s="816"/>
      <c r="B163" s="587"/>
      <c r="C163" s="816"/>
      <c r="D163" s="816"/>
      <c r="E163" s="816"/>
      <c r="F163" s="824"/>
      <c r="G163" s="824"/>
      <c r="H163" s="825"/>
      <c r="I163" s="824"/>
      <c r="J163" s="825"/>
      <c r="K163" s="816"/>
      <c r="L163" s="824"/>
      <c r="M163" s="825"/>
      <c r="N163" s="824"/>
      <c r="O163" s="825"/>
      <c r="P163" s="287"/>
    </row>
    <row r="164" spans="1:16" s="138" customFormat="1" x14ac:dyDescent="0.25">
      <c r="A164" s="816"/>
      <c r="B164" s="587"/>
      <c r="C164" s="816"/>
      <c r="D164" s="816"/>
      <c r="E164" s="816"/>
      <c r="F164" s="824"/>
      <c r="G164" s="824"/>
      <c r="H164" s="825"/>
      <c r="I164" s="824"/>
      <c r="J164" s="825"/>
      <c r="K164" s="816"/>
      <c r="L164" s="824"/>
      <c r="M164" s="825"/>
      <c r="N164" s="824"/>
      <c r="O164" s="825"/>
      <c r="P164" s="287"/>
    </row>
    <row r="165" spans="1:16" s="138" customFormat="1" x14ac:dyDescent="0.25">
      <c r="A165" s="816"/>
      <c r="B165" s="587"/>
      <c r="C165" s="816"/>
      <c r="D165" s="816"/>
      <c r="E165" s="816"/>
      <c r="F165" s="824"/>
      <c r="G165" s="824"/>
      <c r="H165" s="825"/>
      <c r="I165" s="824"/>
      <c r="J165" s="825"/>
      <c r="K165" s="816"/>
      <c r="L165" s="824"/>
      <c r="M165" s="825"/>
      <c r="N165" s="824"/>
      <c r="O165" s="825"/>
      <c r="P165" s="287"/>
    </row>
    <row r="166" spans="1:16" s="138" customFormat="1" x14ac:dyDescent="0.25">
      <c r="A166" s="816"/>
      <c r="B166" s="587"/>
      <c r="C166" s="816"/>
      <c r="D166" s="816"/>
      <c r="E166" s="816"/>
      <c r="F166" s="824"/>
      <c r="G166" s="824"/>
      <c r="H166" s="825"/>
      <c r="I166" s="824"/>
      <c r="J166" s="825"/>
      <c r="K166" s="816"/>
      <c r="L166" s="824"/>
      <c r="M166" s="825"/>
      <c r="N166" s="824"/>
      <c r="O166" s="825"/>
      <c r="P166" s="287"/>
    </row>
    <row r="167" spans="1:16" s="138" customFormat="1" x14ac:dyDescent="0.25">
      <c r="A167" s="816"/>
      <c r="B167" s="587"/>
      <c r="C167" s="816"/>
      <c r="D167" s="816"/>
      <c r="E167" s="816"/>
      <c r="F167" s="824"/>
      <c r="G167" s="824"/>
      <c r="H167" s="825"/>
      <c r="I167" s="824"/>
      <c r="J167" s="825"/>
      <c r="K167" s="816"/>
      <c r="L167" s="824"/>
      <c r="M167" s="825"/>
      <c r="N167" s="824"/>
      <c r="O167" s="825"/>
      <c r="P167" s="287"/>
    </row>
    <row r="168" spans="1:16" s="138" customFormat="1" x14ac:dyDescent="0.25">
      <c r="A168" s="816"/>
      <c r="B168" s="587"/>
      <c r="C168" s="816"/>
      <c r="D168" s="816"/>
      <c r="E168" s="816"/>
      <c r="F168" s="824"/>
      <c r="G168" s="824"/>
      <c r="H168" s="825"/>
      <c r="I168" s="824"/>
      <c r="J168" s="825"/>
      <c r="K168" s="816"/>
      <c r="L168" s="824"/>
      <c r="M168" s="825"/>
      <c r="N168" s="824"/>
      <c r="O168" s="825"/>
      <c r="P168" s="287"/>
    </row>
    <row r="169" spans="1:16" s="138" customFormat="1" x14ac:dyDescent="0.25">
      <c r="A169" s="816"/>
      <c r="B169" s="587"/>
      <c r="C169" s="816"/>
      <c r="D169" s="816"/>
      <c r="E169" s="816"/>
      <c r="F169" s="824"/>
      <c r="G169" s="824"/>
      <c r="H169" s="825"/>
      <c r="I169" s="824"/>
      <c r="J169" s="825"/>
      <c r="K169" s="816"/>
      <c r="L169" s="824"/>
      <c r="M169" s="825"/>
      <c r="N169" s="824"/>
      <c r="O169" s="825"/>
      <c r="P169" s="287"/>
    </row>
    <row r="170" spans="1:16" s="138" customFormat="1" x14ac:dyDescent="0.25">
      <c r="A170" s="816"/>
      <c r="B170" s="587"/>
      <c r="C170" s="816"/>
      <c r="D170" s="816"/>
      <c r="E170" s="816"/>
      <c r="F170" s="824"/>
      <c r="G170" s="824"/>
      <c r="H170" s="825"/>
      <c r="I170" s="824"/>
      <c r="J170" s="825"/>
      <c r="K170" s="816"/>
      <c r="L170" s="824"/>
      <c r="M170" s="825"/>
      <c r="N170" s="824"/>
      <c r="O170" s="825"/>
      <c r="P170" s="287"/>
    </row>
    <row r="171" spans="1:16" s="138" customFormat="1" x14ac:dyDescent="0.25">
      <c r="A171" s="816"/>
      <c r="B171" s="587"/>
      <c r="C171" s="816"/>
      <c r="D171" s="816"/>
      <c r="E171" s="816"/>
      <c r="F171" s="824"/>
      <c r="G171" s="824"/>
      <c r="H171" s="825"/>
      <c r="I171" s="824"/>
      <c r="J171" s="825"/>
      <c r="K171" s="816"/>
      <c r="L171" s="824"/>
      <c r="M171" s="825"/>
      <c r="N171" s="824"/>
      <c r="O171" s="825"/>
      <c r="P171" s="287"/>
    </row>
    <row r="172" spans="1:16" s="138" customFormat="1" x14ac:dyDescent="0.25">
      <c r="A172" s="816"/>
      <c r="B172" s="587"/>
      <c r="C172" s="816"/>
      <c r="D172" s="816"/>
      <c r="E172" s="816"/>
      <c r="F172" s="824"/>
      <c r="G172" s="824"/>
      <c r="H172" s="825"/>
      <c r="I172" s="824"/>
      <c r="J172" s="825"/>
      <c r="K172" s="816"/>
      <c r="L172" s="824"/>
      <c r="M172" s="825"/>
      <c r="N172" s="824"/>
      <c r="O172" s="825"/>
      <c r="P172" s="287"/>
    </row>
    <row r="173" spans="1:16" s="138" customFormat="1" x14ac:dyDescent="0.25">
      <c r="A173" s="816"/>
      <c r="B173" s="587"/>
      <c r="C173" s="816"/>
      <c r="D173" s="816"/>
      <c r="E173" s="816"/>
      <c r="F173" s="824"/>
      <c r="G173" s="824"/>
      <c r="H173" s="825"/>
      <c r="I173" s="824"/>
      <c r="J173" s="825"/>
      <c r="K173" s="816"/>
      <c r="L173" s="824"/>
      <c r="M173" s="825"/>
      <c r="N173" s="824"/>
      <c r="O173" s="825"/>
      <c r="P173" s="287"/>
    </row>
    <row r="174" spans="1:16" s="138" customFormat="1" x14ac:dyDescent="0.25">
      <c r="A174" s="816"/>
      <c r="B174" s="587"/>
      <c r="C174" s="816"/>
      <c r="D174" s="816"/>
      <c r="E174" s="816"/>
      <c r="F174" s="824"/>
      <c r="G174" s="824"/>
      <c r="H174" s="825"/>
      <c r="I174" s="824"/>
      <c r="J174" s="825"/>
      <c r="K174" s="816"/>
      <c r="L174" s="824"/>
      <c r="M174" s="825"/>
      <c r="N174" s="824"/>
      <c r="O174" s="825"/>
      <c r="P174" s="287"/>
    </row>
    <row r="175" spans="1:16" s="138" customFormat="1" x14ac:dyDescent="0.25">
      <c r="A175" s="816"/>
      <c r="B175" s="587"/>
      <c r="C175" s="816"/>
      <c r="D175" s="816"/>
      <c r="E175" s="816"/>
      <c r="F175" s="824"/>
      <c r="G175" s="824"/>
      <c r="H175" s="825"/>
      <c r="I175" s="824"/>
      <c r="J175" s="825"/>
      <c r="K175" s="816"/>
      <c r="L175" s="824"/>
      <c r="M175" s="825"/>
      <c r="N175" s="824"/>
      <c r="O175" s="825"/>
      <c r="P175" s="287"/>
    </row>
    <row r="176" spans="1:16" s="138" customFormat="1" x14ac:dyDescent="0.25">
      <c r="A176" s="816"/>
      <c r="B176" s="587"/>
      <c r="C176" s="816"/>
      <c r="D176" s="816"/>
      <c r="E176" s="816"/>
      <c r="F176" s="824"/>
      <c r="G176" s="824"/>
      <c r="H176" s="825"/>
      <c r="I176" s="824"/>
      <c r="J176" s="825"/>
      <c r="K176" s="816"/>
      <c r="L176" s="824"/>
      <c r="M176" s="825"/>
      <c r="N176" s="824"/>
      <c r="O176" s="825"/>
      <c r="P176" s="287"/>
    </row>
    <row r="177" spans="1:16" s="138" customFormat="1" x14ac:dyDescent="0.25">
      <c r="A177" s="816"/>
      <c r="B177" s="587"/>
      <c r="C177" s="816"/>
      <c r="D177" s="816"/>
      <c r="E177" s="816"/>
      <c r="F177" s="824"/>
      <c r="G177" s="824"/>
      <c r="H177" s="825"/>
      <c r="I177" s="824"/>
      <c r="J177" s="825"/>
      <c r="K177" s="816"/>
      <c r="L177" s="824"/>
      <c r="M177" s="825"/>
      <c r="N177" s="824"/>
      <c r="O177" s="825"/>
      <c r="P177" s="287"/>
    </row>
    <row r="178" spans="1:16" s="138" customFormat="1" x14ac:dyDescent="0.25">
      <c r="A178" s="816"/>
      <c r="B178" s="587"/>
      <c r="C178" s="816"/>
      <c r="D178" s="816"/>
      <c r="E178" s="816"/>
      <c r="F178" s="824"/>
      <c r="G178" s="824"/>
      <c r="H178" s="825"/>
      <c r="I178" s="824"/>
      <c r="J178" s="825"/>
      <c r="K178" s="816"/>
      <c r="L178" s="824"/>
      <c r="M178" s="825"/>
      <c r="N178" s="824"/>
      <c r="O178" s="825"/>
      <c r="P178" s="287"/>
    </row>
    <row r="179" spans="1:16" s="138" customFormat="1" x14ac:dyDescent="0.25">
      <c r="A179" s="816"/>
      <c r="B179" s="587"/>
      <c r="C179" s="816"/>
      <c r="D179" s="816"/>
      <c r="E179" s="816"/>
      <c r="F179" s="824"/>
      <c r="G179" s="824"/>
      <c r="H179" s="825"/>
      <c r="I179" s="824"/>
      <c r="J179" s="825"/>
      <c r="K179" s="816"/>
      <c r="L179" s="824"/>
      <c r="M179" s="825"/>
      <c r="N179" s="824"/>
      <c r="O179" s="825"/>
      <c r="P179" s="287"/>
    </row>
    <row r="180" spans="1:16" s="138" customFormat="1" x14ac:dyDescent="0.25">
      <c r="A180" s="816"/>
      <c r="B180" s="587"/>
      <c r="C180" s="816"/>
      <c r="D180" s="816"/>
      <c r="E180" s="816"/>
      <c r="F180" s="824"/>
      <c r="G180" s="824"/>
      <c r="H180" s="825"/>
      <c r="I180" s="824"/>
      <c r="J180" s="825"/>
      <c r="K180" s="816"/>
      <c r="L180" s="824"/>
      <c r="M180" s="825"/>
      <c r="N180" s="824"/>
      <c r="O180" s="825"/>
      <c r="P180" s="287"/>
    </row>
    <row r="181" spans="1:16" s="138" customFormat="1" x14ac:dyDescent="0.25">
      <c r="A181" s="816"/>
      <c r="B181" s="587"/>
      <c r="C181" s="816"/>
      <c r="D181" s="816"/>
      <c r="E181" s="816"/>
      <c r="F181" s="824"/>
      <c r="G181" s="824"/>
      <c r="H181" s="825"/>
      <c r="I181" s="824"/>
      <c r="J181" s="825"/>
      <c r="K181" s="816"/>
      <c r="L181" s="824"/>
      <c r="M181" s="825"/>
      <c r="N181" s="824"/>
      <c r="O181" s="825"/>
      <c r="P181" s="287"/>
    </row>
    <row r="182" spans="1:16" s="138" customFormat="1" x14ac:dyDescent="0.25">
      <c r="A182" s="816"/>
      <c r="B182" s="587"/>
      <c r="C182" s="816"/>
      <c r="D182" s="816"/>
      <c r="E182" s="816"/>
      <c r="F182" s="824"/>
      <c r="G182" s="824"/>
      <c r="H182" s="825"/>
      <c r="I182" s="824"/>
      <c r="J182" s="825"/>
      <c r="K182" s="816"/>
      <c r="L182" s="824"/>
      <c r="M182" s="825"/>
      <c r="N182" s="824"/>
      <c r="O182" s="825"/>
      <c r="P182" s="287"/>
    </row>
    <row r="183" spans="1:16" s="138" customFormat="1" x14ac:dyDescent="0.25">
      <c r="A183" s="816"/>
      <c r="B183" s="587"/>
      <c r="C183" s="816"/>
      <c r="D183" s="816"/>
      <c r="E183" s="816"/>
      <c r="F183" s="824"/>
      <c r="G183" s="824"/>
      <c r="H183" s="825"/>
      <c r="I183" s="824"/>
      <c r="J183" s="825"/>
      <c r="K183" s="816"/>
      <c r="L183" s="824"/>
      <c r="M183" s="825"/>
      <c r="N183" s="824"/>
      <c r="O183" s="825"/>
      <c r="P183" s="287"/>
    </row>
    <row r="184" spans="1:16" s="138" customFormat="1" x14ac:dyDescent="0.25">
      <c r="A184" s="816"/>
      <c r="B184" s="587"/>
      <c r="C184" s="816"/>
      <c r="D184" s="816"/>
      <c r="E184" s="816"/>
      <c r="F184" s="824"/>
      <c r="G184" s="824"/>
      <c r="H184" s="825"/>
      <c r="I184" s="824"/>
      <c r="J184" s="825"/>
      <c r="K184" s="816"/>
      <c r="L184" s="824"/>
      <c r="M184" s="825"/>
      <c r="N184" s="824"/>
      <c r="O184" s="825"/>
      <c r="P184" s="287"/>
    </row>
    <row r="185" spans="1:16" s="138" customFormat="1" x14ac:dyDescent="0.25">
      <c r="A185" s="816"/>
      <c r="B185" s="587"/>
      <c r="C185" s="816"/>
      <c r="D185" s="816"/>
      <c r="E185" s="816"/>
      <c r="F185" s="824"/>
      <c r="G185" s="824"/>
      <c r="H185" s="825"/>
      <c r="I185" s="824"/>
      <c r="J185" s="825"/>
      <c r="K185" s="816"/>
      <c r="L185" s="824"/>
      <c r="M185" s="825"/>
      <c r="N185" s="824"/>
      <c r="O185" s="825"/>
      <c r="P185" s="287"/>
    </row>
    <row r="186" spans="1:16" s="138" customFormat="1" x14ac:dyDescent="0.25">
      <c r="A186" s="816"/>
      <c r="B186" s="587"/>
      <c r="C186" s="816"/>
      <c r="D186" s="816"/>
      <c r="E186" s="816"/>
      <c r="F186" s="824"/>
      <c r="G186" s="824"/>
      <c r="H186" s="825"/>
      <c r="I186" s="824"/>
      <c r="J186" s="825"/>
      <c r="K186" s="816"/>
      <c r="L186" s="824"/>
      <c r="M186" s="825"/>
      <c r="N186" s="824"/>
      <c r="O186" s="825"/>
      <c r="P186" s="287"/>
    </row>
    <row r="187" spans="1:16" s="138" customFormat="1" x14ac:dyDescent="0.25">
      <c r="A187" s="816"/>
      <c r="B187" s="587"/>
      <c r="C187" s="816"/>
      <c r="D187" s="816"/>
      <c r="E187" s="816"/>
      <c r="F187" s="824"/>
      <c r="G187" s="824"/>
      <c r="H187" s="825"/>
      <c r="I187" s="824"/>
      <c r="J187" s="825"/>
      <c r="K187" s="816"/>
      <c r="L187" s="824"/>
      <c r="M187" s="825"/>
      <c r="N187" s="824"/>
      <c r="O187" s="825"/>
      <c r="P187" s="287"/>
    </row>
    <row r="188" spans="1:16" s="138" customFormat="1" x14ac:dyDescent="0.25">
      <c r="A188" s="816"/>
      <c r="B188" s="587"/>
      <c r="C188" s="816"/>
      <c r="D188" s="816"/>
      <c r="E188" s="816"/>
      <c r="F188" s="824"/>
      <c r="G188" s="824"/>
      <c r="H188" s="825"/>
      <c r="I188" s="824"/>
      <c r="J188" s="825"/>
      <c r="K188" s="816"/>
      <c r="L188" s="824"/>
      <c r="M188" s="825"/>
      <c r="N188" s="824"/>
      <c r="O188" s="825"/>
      <c r="P188" s="287"/>
    </row>
    <row r="189" spans="1:16" s="138" customFormat="1" x14ac:dyDescent="0.25">
      <c r="A189" s="816"/>
      <c r="B189" s="587"/>
      <c r="C189" s="816"/>
      <c r="D189" s="816"/>
      <c r="E189" s="816"/>
      <c r="F189" s="824"/>
      <c r="G189" s="824"/>
      <c r="H189" s="825"/>
      <c r="I189" s="824"/>
      <c r="J189" s="825"/>
      <c r="K189" s="816"/>
      <c r="L189" s="824"/>
      <c r="M189" s="825"/>
      <c r="N189" s="824"/>
      <c r="O189" s="825"/>
      <c r="P189" s="287"/>
    </row>
    <row r="190" spans="1:16" s="138" customFormat="1" x14ac:dyDescent="0.25">
      <c r="A190" s="816"/>
      <c r="B190" s="587"/>
      <c r="C190" s="816"/>
      <c r="D190" s="816"/>
      <c r="E190" s="816"/>
      <c r="F190" s="824"/>
      <c r="G190" s="824"/>
      <c r="H190" s="825"/>
      <c r="I190" s="824"/>
      <c r="J190" s="825"/>
      <c r="K190" s="816"/>
      <c r="L190" s="824"/>
      <c r="M190" s="825"/>
      <c r="N190" s="824"/>
      <c r="O190" s="825"/>
      <c r="P190" s="287"/>
    </row>
    <row r="191" spans="1:16" s="138" customFormat="1" x14ac:dyDescent="0.25">
      <c r="A191" s="816"/>
      <c r="B191" s="587"/>
      <c r="C191" s="816"/>
      <c r="D191" s="816"/>
      <c r="E191" s="816"/>
      <c r="F191" s="824"/>
      <c r="G191" s="824"/>
      <c r="H191" s="825"/>
      <c r="I191" s="824"/>
      <c r="J191" s="825"/>
      <c r="K191" s="816"/>
      <c r="L191" s="824"/>
      <c r="M191" s="825"/>
      <c r="N191" s="824"/>
      <c r="O191" s="825"/>
      <c r="P191" s="287"/>
    </row>
    <row r="192" spans="1:16" s="138" customFormat="1" x14ac:dyDescent="0.25">
      <c r="A192" s="816"/>
      <c r="B192" s="587"/>
      <c r="C192" s="816"/>
      <c r="D192" s="816"/>
      <c r="E192" s="816"/>
      <c r="F192" s="824"/>
      <c r="G192" s="824"/>
      <c r="H192" s="825"/>
      <c r="I192" s="824"/>
      <c r="J192" s="825"/>
      <c r="K192" s="816"/>
      <c r="L192" s="824"/>
      <c r="M192" s="825"/>
      <c r="N192" s="824"/>
      <c r="O192" s="825"/>
      <c r="P192" s="287"/>
    </row>
    <row r="193" spans="1:16" s="138" customFormat="1" x14ac:dyDescent="0.25">
      <c r="A193" s="816"/>
      <c r="B193" s="587"/>
      <c r="C193" s="816"/>
      <c r="D193" s="816"/>
      <c r="E193" s="816"/>
      <c r="F193" s="824"/>
      <c r="G193" s="824"/>
      <c r="H193" s="825"/>
      <c r="I193" s="824"/>
      <c r="J193" s="825"/>
      <c r="K193" s="816"/>
      <c r="L193" s="824"/>
      <c r="M193" s="825"/>
      <c r="N193" s="824"/>
      <c r="O193" s="825"/>
      <c r="P193" s="287"/>
    </row>
    <row r="194" spans="1:16" s="138" customFormat="1" x14ac:dyDescent="0.25">
      <c r="A194" s="816"/>
      <c r="B194" s="587"/>
      <c r="C194" s="816"/>
      <c r="D194" s="816"/>
      <c r="E194" s="816"/>
      <c r="F194" s="824"/>
      <c r="G194" s="824"/>
      <c r="H194" s="825"/>
      <c r="I194" s="824"/>
      <c r="J194" s="825"/>
      <c r="K194" s="816"/>
      <c r="L194" s="824"/>
      <c r="M194" s="825"/>
      <c r="N194" s="824"/>
      <c r="O194" s="825"/>
      <c r="P194" s="287"/>
    </row>
    <row r="195" spans="1:16" s="138" customFormat="1" x14ac:dyDescent="0.25">
      <c r="A195" s="816"/>
      <c r="B195" s="587"/>
      <c r="C195" s="816"/>
      <c r="D195" s="816"/>
      <c r="E195" s="816"/>
      <c r="F195" s="824"/>
      <c r="G195" s="824"/>
      <c r="H195" s="825"/>
      <c r="I195" s="824"/>
      <c r="J195" s="825"/>
      <c r="K195" s="816"/>
      <c r="L195" s="824"/>
      <c r="M195" s="825"/>
      <c r="N195" s="824"/>
      <c r="O195" s="825"/>
      <c r="P195" s="287"/>
    </row>
    <row r="196" spans="1:16" s="138" customFormat="1" x14ac:dyDescent="0.25">
      <c r="A196" s="816"/>
      <c r="B196" s="587"/>
      <c r="C196" s="816"/>
      <c r="D196" s="816"/>
      <c r="E196" s="816"/>
      <c r="F196" s="824"/>
      <c r="G196" s="824"/>
      <c r="H196" s="825"/>
      <c r="I196" s="824"/>
      <c r="J196" s="825"/>
      <c r="K196" s="816"/>
      <c r="L196" s="824"/>
      <c r="M196" s="825"/>
      <c r="N196" s="824"/>
      <c r="O196" s="825"/>
      <c r="P196" s="287"/>
    </row>
    <row r="197" spans="1:16" s="138" customFormat="1" x14ac:dyDescent="0.25">
      <c r="A197" s="816"/>
      <c r="B197" s="587"/>
      <c r="C197" s="816"/>
      <c r="D197" s="816"/>
      <c r="E197" s="816"/>
      <c r="F197" s="824"/>
      <c r="G197" s="824"/>
      <c r="H197" s="825"/>
      <c r="I197" s="824"/>
      <c r="J197" s="825"/>
      <c r="K197" s="816"/>
      <c r="L197" s="824"/>
      <c r="M197" s="825"/>
      <c r="N197" s="824"/>
      <c r="O197" s="825"/>
      <c r="P197" s="287"/>
    </row>
    <row r="198" spans="1:16" s="138" customFormat="1" x14ac:dyDescent="0.25">
      <c r="A198" s="816"/>
      <c r="B198" s="587"/>
      <c r="C198" s="816"/>
      <c r="D198" s="816"/>
      <c r="E198" s="816"/>
      <c r="F198" s="824"/>
      <c r="G198" s="824"/>
      <c r="H198" s="825"/>
      <c r="I198" s="824"/>
      <c r="J198" s="825"/>
      <c r="K198" s="816"/>
      <c r="L198" s="824"/>
      <c r="M198" s="825"/>
      <c r="N198" s="824"/>
      <c r="O198" s="825"/>
      <c r="P198" s="287"/>
    </row>
    <row r="199" spans="1:16" s="138" customFormat="1" x14ac:dyDescent="0.25">
      <c r="A199" s="816"/>
      <c r="B199" s="587"/>
      <c r="C199" s="816"/>
      <c r="D199" s="816"/>
      <c r="E199" s="816"/>
      <c r="F199" s="824"/>
      <c r="G199" s="824"/>
      <c r="H199" s="825"/>
      <c r="I199" s="824"/>
      <c r="J199" s="825"/>
      <c r="K199" s="816"/>
      <c r="L199" s="824"/>
      <c r="M199" s="825"/>
      <c r="N199" s="824"/>
      <c r="O199" s="825"/>
      <c r="P199" s="287"/>
    </row>
    <row r="200" spans="1:16" s="138" customFormat="1" x14ac:dyDescent="0.25">
      <c r="A200" s="816"/>
      <c r="B200" s="587"/>
      <c r="C200" s="816"/>
      <c r="D200" s="816"/>
      <c r="E200" s="816"/>
      <c r="F200" s="824"/>
      <c r="G200" s="824"/>
      <c r="H200" s="825"/>
      <c r="I200" s="824"/>
      <c r="J200" s="825"/>
      <c r="K200" s="816"/>
      <c r="L200" s="824"/>
      <c r="M200" s="825"/>
      <c r="N200" s="824"/>
      <c r="O200" s="825"/>
      <c r="P200" s="287"/>
    </row>
    <row r="201" spans="1:16" s="138" customFormat="1" x14ac:dyDescent="0.25">
      <c r="A201" s="816"/>
      <c r="B201" s="587"/>
      <c r="C201" s="816"/>
      <c r="D201" s="816"/>
      <c r="E201" s="816"/>
      <c r="F201" s="824"/>
      <c r="G201" s="824"/>
      <c r="H201" s="825"/>
      <c r="I201" s="824"/>
      <c r="J201" s="825"/>
      <c r="K201" s="816"/>
      <c r="L201" s="824"/>
      <c r="M201" s="825"/>
      <c r="N201" s="824"/>
      <c r="O201" s="825"/>
      <c r="P201" s="287"/>
    </row>
    <row r="202" spans="1:16" s="138" customFormat="1" x14ac:dyDescent="0.25">
      <c r="A202" s="816"/>
      <c r="B202" s="587"/>
      <c r="C202" s="816"/>
      <c r="D202" s="816"/>
      <c r="E202" s="816"/>
      <c r="F202" s="824"/>
      <c r="G202" s="824"/>
      <c r="H202" s="825"/>
      <c r="I202" s="824"/>
      <c r="J202" s="825"/>
      <c r="K202" s="816"/>
      <c r="L202" s="824"/>
      <c r="M202" s="825"/>
      <c r="N202" s="824"/>
      <c r="O202" s="825"/>
      <c r="P202" s="287"/>
    </row>
    <row r="203" spans="1:16" s="138" customFormat="1" x14ac:dyDescent="0.25">
      <c r="A203" s="816"/>
      <c r="B203" s="587"/>
      <c r="C203" s="816"/>
      <c r="D203" s="816"/>
      <c r="E203" s="816"/>
      <c r="F203" s="824"/>
      <c r="G203" s="824"/>
      <c r="H203" s="825"/>
      <c r="I203" s="824"/>
      <c r="J203" s="825"/>
      <c r="K203" s="816"/>
      <c r="L203" s="824"/>
      <c r="M203" s="825"/>
      <c r="N203" s="824"/>
      <c r="O203" s="825"/>
      <c r="P203" s="287"/>
    </row>
    <row r="204" spans="1:16" s="138" customFormat="1" x14ac:dyDescent="0.25">
      <c r="A204" s="816"/>
      <c r="B204" s="587"/>
      <c r="C204" s="816"/>
      <c r="D204" s="816"/>
      <c r="E204" s="816"/>
      <c r="F204" s="824"/>
      <c r="G204" s="824"/>
      <c r="H204" s="825"/>
      <c r="I204" s="824"/>
      <c r="J204" s="825"/>
      <c r="K204" s="816"/>
      <c r="L204" s="824"/>
      <c r="M204" s="825"/>
      <c r="N204" s="824"/>
      <c r="O204" s="825"/>
      <c r="P204" s="287"/>
    </row>
    <row r="205" spans="1:16" s="138" customFormat="1" x14ac:dyDescent="0.25">
      <c r="A205" s="816"/>
      <c r="B205" s="587"/>
      <c r="C205" s="816"/>
      <c r="D205" s="816"/>
      <c r="E205" s="816"/>
      <c r="F205" s="824"/>
      <c r="G205" s="824"/>
      <c r="H205" s="825"/>
      <c r="I205" s="824"/>
      <c r="J205" s="825"/>
      <c r="K205" s="816"/>
      <c r="L205" s="824"/>
      <c r="M205" s="825"/>
      <c r="N205" s="824"/>
      <c r="O205" s="825"/>
      <c r="P205" s="287"/>
    </row>
    <row r="206" spans="1:16" s="138" customFormat="1" x14ac:dyDescent="0.25">
      <c r="A206" s="816"/>
      <c r="B206" s="587"/>
      <c r="C206" s="816"/>
      <c r="D206" s="816"/>
      <c r="E206" s="816"/>
      <c r="F206" s="824"/>
      <c r="G206" s="824"/>
      <c r="H206" s="825"/>
      <c r="I206" s="824"/>
      <c r="J206" s="825"/>
      <c r="K206" s="816"/>
      <c r="L206" s="824"/>
      <c r="M206" s="825"/>
      <c r="N206" s="824"/>
      <c r="O206" s="825"/>
      <c r="P206" s="287"/>
    </row>
    <row r="207" spans="1:16" s="138" customFormat="1" x14ac:dyDescent="0.25">
      <c r="A207" s="816"/>
      <c r="B207" s="587"/>
      <c r="C207" s="816"/>
      <c r="D207" s="816"/>
      <c r="E207" s="816"/>
      <c r="F207" s="824"/>
      <c r="G207" s="824"/>
      <c r="H207" s="825"/>
      <c r="I207" s="824"/>
      <c r="J207" s="825"/>
      <c r="K207" s="816"/>
      <c r="L207" s="824"/>
      <c r="M207" s="825"/>
      <c r="N207" s="824"/>
      <c r="O207" s="825"/>
      <c r="P207" s="287"/>
    </row>
    <row r="208" spans="1:16" s="138" customFormat="1" x14ac:dyDescent="0.25">
      <c r="A208" s="816"/>
      <c r="B208" s="587"/>
      <c r="C208" s="816"/>
      <c r="D208" s="816"/>
      <c r="E208" s="816"/>
      <c r="F208" s="824"/>
      <c r="G208" s="824"/>
      <c r="H208" s="825"/>
      <c r="I208" s="824"/>
      <c r="J208" s="825"/>
      <c r="K208" s="816"/>
      <c r="L208" s="824"/>
      <c r="M208" s="825"/>
      <c r="N208" s="824"/>
      <c r="O208" s="825"/>
      <c r="P208" s="287"/>
    </row>
    <row r="209" spans="1:16" s="138" customFormat="1" x14ac:dyDescent="0.25">
      <c r="A209" s="816"/>
      <c r="B209" s="587"/>
      <c r="C209" s="816"/>
      <c r="D209" s="816"/>
      <c r="E209" s="816"/>
      <c r="F209" s="824"/>
      <c r="G209" s="824"/>
      <c r="H209" s="825"/>
      <c r="I209" s="824"/>
      <c r="J209" s="825"/>
      <c r="K209" s="816"/>
      <c r="L209" s="824"/>
      <c r="M209" s="825"/>
      <c r="N209" s="824"/>
      <c r="O209" s="825"/>
      <c r="P209" s="287"/>
    </row>
    <row r="210" spans="1:16" s="138" customFormat="1" x14ac:dyDescent="0.25">
      <c r="A210" s="816"/>
      <c r="B210" s="587"/>
      <c r="C210" s="816"/>
      <c r="D210" s="816"/>
      <c r="E210" s="816"/>
      <c r="F210" s="824"/>
      <c r="G210" s="824"/>
      <c r="H210" s="825"/>
      <c r="I210" s="824"/>
      <c r="J210" s="825"/>
      <c r="K210" s="816"/>
      <c r="L210" s="824"/>
      <c r="M210" s="825"/>
      <c r="N210" s="824"/>
      <c r="O210" s="825"/>
      <c r="P210" s="287"/>
    </row>
    <row r="211" spans="1:16" s="138" customFormat="1" x14ac:dyDescent="0.25">
      <c r="A211" s="816"/>
      <c r="B211" s="587"/>
      <c r="C211" s="816"/>
      <c r="D211" s="816"/>
      <c r="E211" s="816"/>
      <c r="F211" s="824"/>
      <c r="G211" s="824"/>
      <c r="H211" s="825"/>
      <c r="I211" s="824"/>
      <c r="J211" s="825"/>
      <c r="K211" s="816"/>
      <c r="L211" s="824"/>
      <c r="M211" s="825"/>
      <c r="N211" s="824"/>
      <c r="O211" s="825"/>
      <c r="P211" s="287"/>
    </row>
    <row r="212" spans="1:16" s="138" customFormat="1" x14ac:dyDescent="0.25">
      <c r="A212" s="816"/>
      <c r="B212" s="587"/>
      <c r="C212" s="816"/>
      <c r="D212" s="816"/>
      <c r="E212" s="816"/>
      <c r="F212" s="824"/>
      <c r="G212" s="824"/>
      <c r="H212" s="825"/>
      <c r="I212" s="824"/>
      <c r="J212" s="825"/>
      <c r="K212" s="816"/>
      <c r="L212" s="824"/>
      <c r="M212" s="825"/>
      <c r="N212" s="824"/>
      <c r="O212" s="825"/>
      <c r="P212" s="287"/>
    </row>
    <row r="213" spans="1:16" s="138" customFormat="1" x14ac:dyDescent="0.25">
      <c r="A213" s="816"/>
      <c r="B213" s="587"/>
      <c r="C213" s="816"/>
      <c r="D213" s="816"/>
      <c r="E213" s="816"/>
      <c r="F213" s="824"/>
      <c r="G213" s="824"/>
      <c r="H213" s="825"/>
      <c r="I213" s="824"/>
      <c r="J213" s="825"/>
      <c r="K213" s="816"/>
      <c r="L213" s="824"/>
      <c r="M213" s="825"/>
      <c r="N213" s="824"/>
      <c r="O213" s="825"/>
      <c r="P213" s="287"/>
    </row>
    <row r="214" spans="1:16" s="138" customFormat="1" x14ac:dyDescent="0.25">
      <c r="A214" s="816"/>
      <c r="B214" s="587"/>
      <c r="C214" s="816"/>
      <c r="D214" s="816"/>
      <c r="E214" s="816"/>
      <c r="F214" s="824"/>
      <c r="G214" s="824"/>
      <c r="H214" s="825"/>
      <c r="I214" s="824"/>
      <c r="J214" s="825"/>
      <c r="K214" s="816"/>
      <c r="L214" s="824"/>
      <c r="M214" s="825"/>
      <c r="N214" s="824"/>
      <c r="O214" s="825"/>
      <c r="P214" s="287"/>
    </row>
    <row r="215" spans="1:16" s="138" customFormat="1" x14ac:dyDescent="0.25">
      <c r="A215" s="816"/>
      <c r="B215" s="587"/>
      <c r="C215" s="816"/>
      <c r="D215" s="816"/>
      <c r="E215" s="816"/>
      <c r="F215" s="824"/>
      <c r="G215" s="824"/>
      <c r="H215" s="825"/>
      <c r="I215" s="824"/>
      <c r="J215" s="825"/>
      <c r="K215" s="816"/>
      <c r="L215" s="824"/>
      <c r="M215" s="825"/>
      <c r="N215" s="824"/>
      <c r="O215" s="825"/>
      <c r="P215" s="287"/>
    </row>
    <row r="216" spans="1:16" s="138" customFormat="1" x14ac:dyDescent="0.25">
      <c r="A216" s="816"/>
      <c r="B216" s="587"/>
      <c r="C216" s="816"/>
      <c r="D216" s="816"/>
      <c r="E216" s="816"/>
      <c r="F216" s="824"/>
      <c r="G216" s="824"/>
      <c r="H216" s="825"/>
      <c r="I216" s="824"/>
      <c r="J216" s="825"/>
      <c r="K216" s="816"/>
      <c r="L216" s="824"/>
      <c r="M216" s="825"/>
      <c r="N216" s="824"/>
      <c r="O216" s="825"/>
      <c r="P216" s="287"/>
    </row>
    <row r="217" spans="1:16" s="138" customFormat="1" x14ac:dyDescent="0.25">
      <c r="A217" s="816"/>
      <c r="B217" s="587"/>
      <c r="C217" s="816"/>
      <c r="D217" s="816"/>
      <c r="E217" s="816"/>
      <c r="F217" s="824"/>
      <c r="G217" s="824"/>
      <c r="H217" s="825"/>
      <c r="I217" s="824"/>
      <c r="J217" s="825"/>
      <c r="K217" s="816"/>
      <c r="L217" s="824"/>
      <c r="M217" s="825"/>
      <c r="N217" s="824"/>
      <c r="O217" s="825"/>
      <c r="P217" s="287"/>
    </row>
    <row r="218" spans="1:16" s="138" customFormat="1" x14ac:dyDescent="0.25">
      <c r="A218" s="816"/>
      <c r="B218" s="587"/>
      <c r="C218" s="816"/>
      <c r="D218" s="816"/>
      <c r="E218" s="816"/>
      <c r="F218" s="824"/>
      <c r="G218" s="824"/>
      <c r="H218" s="825"/>
      <c r="I218" s="824"/>
      <c r="J218" s="825"/>
      <c r="K218" s="816"/>
      <c r="L218" s="824"/>
      <c r="M218" s="825"/>
      <c r="N218" s="824"/>
      <c r="O218" s="825"/>
      <c r="P218" s="287"/>
    </row>
    <row r="219" spans="1:16" s="138" customFormat="1" x14ac:dyDescent="0.25">
      <c r="A219" s="816"/>
      <c r="B219" s="587"/>
      <c r="C219" s="816"/>
      <c r="D219" s="816"/>
      <c r="E219" s="816"/>
      <c r="F219" s="824"/>
      <c r="G219" s="824"/>
      <c r="H219" s="825"/>
      <c r="I219" s="824"/>
      <c r="J219" s="825"/>
      <c r="K219" s="816"/>
      <c r="L219" s="824"/>
      <c r="M219" s="825"/>
      <c r="N219" s="824"/>
      <c r="O219" s="825"/>
      <c r="P219" s="287"/>
    </row>
    <row r="220" spans="1:16" s="138" customFormat="1" x14ac:dyDescent="0.25">
      <c r="A220" s="816"/>
      <c r="B220" s="587"/>
      <c r="C220" s="816"/>
      <c r="D220" s="816"/>
      <c r="E220" s="816"/>
      <c r="F220" s="824"/>
      <c r="G220" s="824"/>
      <c r="H220" s="825"/>
      <c r="I220" s="824"/>
      <c r="J220" s="825"/>
      <c r="K220" s="816"/>
      <c r="L220" s="824"/>
      <c r="M220" s="825"/>
      <c r="N220" s="824"/>
      <c r="O220" s="825"/>
      <c r="P220" s="287"/>
    </row>
    <row r="221" spans="1:16" s="138" customFormat="1" x14ac:dyDescent="0.25">
      <c r="A221" s="816"/>
      <c r="B221" s="587"/>
      <c r="C221" s="816"/>
      <c r="D221" s="816"/>
      <c r="E221" s="816"/>
      <c r="F221" s="824"/>
      <c r="G221" s="824"/>
      <c r="H221" s="825"/>
      <c r="I221" s="824"/>
      <c r="J221" s="825"/>
      <c r="K221" s="816"/>
      <c r="L221" s="824"/>
      <c r="M221" s="825"/>
      <c r="N221" s="824"/>
      <c r="O221" s="825"/>
      <c r="P221" s="287"/>
    </row>
    <row r="222" spans="1:16" s="138" customFormat="1" x14ac:dyDescent="0.25">
      <c r="A222" s="816"/>
      <c r="B222" s="587"/>
      <c r="C222" s="816"/>
      <c r="D222" s="816"/>
      <c r="E222" s="816"/>
      <c r="F222" s="824"/>
      <c r="G222" s="824"/>
      <c r="H222" s="825"/>
      <c r="I222" s="824"/>
      <c r="J222" s="825"/>
      <c r="K222" s="816"/>
      <c r="L222" s="824"/>
      <c r="M222" s="825"/>
      <c r="N222" s="824"/>
      <c r="O222" s="825"/>
      <c r="P222" s="287"/>
    </row>
    <row r="223" spans="1:16" s="138" customFormat="1" x14ac:dyDescent="0.25">
      <c r="A223" s="816"/>
      <c r="B223" s="587"/>
      <c r="C223" s="816"/>
      <c r="D223" s="816"/>
      <c r="E223" s="816"/>
      <c r="F223" s="824"/>
      <c r="G223" s="824"/>
      <c r="H223" s="825"/>
      <c r="I223" s="824"/>
      <c r="J223" s="825"/>
      <c r="K223" s="816"/>
      <c r="L223" s="824"/>
      <c r="M223" s="825"/>
      <c r="N223" s="824"/>
      <c r="O223" s="825"/>
      <c r="P223" s="287"/>
    </row>
    <row r="224" spans="1:16" s="138" customFormat="1" x14ac:dyDescent="0.25">
      <c r="A224" s="816"/>
      <c r="B224" s="587"/>
      <c r="C224" s="816"/>
      <c r="D224" s="816"/>
      <c r="E224" s="816"/>
      <c r="F224" s="824"/>
      <c r="G224" s="824"/>
      <c r="H224" s="825"/>
      <c r="I224" s="824"/>
      <c r="J224" s="825"/>
      <c r="K224" s="816"/>
      <c r="L224" s="824"/>
      <c r="M224" s="825"/>
      <c r="N224" s="824"/>
      <c r="O224" s="825"/>
      <c r="P224" s="287"/>
    </row>
    <row r="225" spans="1:16" s="138" customFormat="1" x14ac:dyDescent="0.25">
      <c r="A225" s="816"/>
      <c r="B225" s="587"/>
      <c r="C225" s="816"/>
      <c r="D225" s="816"/>
      <c r="E225" s="816"/>
      <c r="F225" s="824"/>
      <c r="G225" s="824"/>
      <c r="H225" s="825"/>
      <c r="I225" s="824"/>
      <c r="J225" s="825"/>
      <c r="K225" s="816"/>
      <c r="L225" s="824"/>
      <c r="M225" s="825"/>
      <c r="N225" s="824"/>
      <c r="O225" s="825"/>
      <c r="P225" s="287"/>
    </row>
    <row r="226" spans="1:16" s="138" customFormat="1" x14ac:dyDescent="0.25">
      <c r="A226" s="816"/>
      <c r="B226" s="587"/>
      <c r="C226" s="816"/>
      <c r="D226" s="816"/>
      <c r="E226" s="816"/>
      <c r="F226" s="824"/>
      <c r="G226" s="824"/>
      <c r="H226" s="825"/>
      <c r="I226" s="824"/>
      <c r="J226" s="825"/>
      <c r="K226" s="816"/>
      <c r="L226" s="824"/>
      <c r="M226" s="825"/>
      <c r="N226" s="824"/>
      <c r="O226" s="825"/>
      <c r="P226" s="287"/>
    </row>
    <row r="227" spans="1:16" s="138" customFormat="1" x14ac:dyDescent="0.25">
      <c r="A227" s="816"/>
      <c r="B227" s="587"/>
      <c r="C227" s="816"/>
      <c r="D227" s="816"/>
      <c r="E227" s="816"/>
      <c r="F227" s="824"/>
      <c r="G227" s="824"/>
      <c r="H227" s="825"/>
      <c r="I227" s="824"/>
      <c r="J227" s="825"/>
      <c r="K227" s="816"/>
      <c r="L227" s="824"/>
      <c r="M227" s="825"/>
      <c r="N227" s="824"/>
      <c r="O227" s="825"/>
      <c r="P227" s="287"/>
    </row>
    <row r="228" spans="1:16" s="138" customFormat="1" x14ac:dyDescent="0.25">
      <c r="A228" s="816"/>
      <c r="B228" s="587"/>
      <c r="C228" s="816"/>
      <c r="D228" s="816"/>
      <c r="E228" s="816"/>
      <c r="F228" s="824"/>
      <c r="G228" s="824"/>
      <c r="H228" s="825"/>
      <c r="I228" s="824"/>
      <c r="J228" s="825"/>
      <c r="K228" s="816"/>
      <c r="L228" s="824"/>
      <c r="M228" s="825"/>
      <c r="N228" s="824"/>
      <c r="O228" s="825"/>
      <c r="P228" s="287"/>
    </row>
    <row r="229" spans="1:16" s="138" customFormat="1" x14ac:dyDescent="0.25">
      <c r="A229" s="816"/>
      <c r="B229" s="587"/>
      <c r="C229" s="816"/>
      <c r="D229" s="816"/>
      <c r="E229" s="816"/>
      <c r="F229" s="824"/>
      <c r="G229" s="824"/>
      <c r="H229" s="825"/>
      <c r="I229" s="824"/>
      <c r="J229" s="825"/>
      <c r="K229" s="816"/>
      <c r="L229" s="824"/>
      <c r="M229" s="825"/>
      <c r="N229" s="824"/>
      <c r="O229" s="825"/>
      <c r="P229" s="287"/>
    </row>
    <row r="230" spans="1:16" s="138" customFormat="1" x14ac:dyDescent="0.25">
      <c r="A230" s="816"/>
      <c r="B230" s="587"/>
      <c r="C230" s="816"/>
      <c r="D230" s="816"/>
      <c r="E230" s="816"/>
      <c r="F230" s="824"/>
      <c r="G230" s="824"/>
      <c r="H230" s="825"/>
      <c r="I230" s="824"/>
      <c r="J230" s="825"/>
      <c r="K230" s="816"/>
      <c r="L230" s="824"/>
      <c r="M230" s="825"/>
      <c r="N230" s="824"/>
      <c r="O230" s="825"/>
      <c r="P230" s="287"/>
    </row>
    <row r="231" spans="1:16" s="138" customFormat="1" x14ac:dyDescent="0.25">
      <c r="A231" s="816"/>
      <c r="B231" s="587"/>
      <c r="C231" s="816"/>
      <c r="D231" s="816"/>
      <c r="E231" s="816"/>
      <c r="F231" s="824"/>
      <c r="G231" s="824"/>
      <c r="H231" s="825"/>
      <c r="I231" s="824"/>
      <c r="J231" s="825"/>
      <c r="K231" s="816"/>
      <c r="L231" s="824"/>
      <c r="M231" s="825"/>
      <c r="N231" s="824"/>
      <c r="O231" s="825"/>
      <c r="P231" s="287"/>
    </row>
    <row r="232" spans="1:16" s="138" customFormat="1" x14ac:dyDescent="0.25">
      <c r="A232" s="816"/>
      <c r="B232" s="587"/>
      <c r="C232" s="816"/>
      <c r="D232" s="816"/>
      <c r="E232" s="816"/>
      <c r="F232" s="824"/>
      <c r="G232" s="824"/>
      <c r="H232" s="825"/>
      <c r="I232" s="824"/>
      <c r="J232" s="825"/>
      <c r="K232" s="816"/>
      <c r="L232" s="824"/>
      <c r="M232" s="825"/>
      <c r="N232" s="824"/>
      <c r="O232" s="825"/>
      <c r="P232" s="287"/>
    </row>
    <row r="233" spans="1:16" s="138" customFormat="1" x14ac:dyDescent="0.25">
      <c r="A233" s="816"/>
      <c r="B233" s="587"/>
      <c r="C233" s="816"/>
      <c r="D233" s="816"/>
      <c r="E233" s="816"/>
      <c r="F233" s="824"/>
      <c r="G233" s="824"/>
      <c r="H233" s="825"/>
      <c r="I233" s="824"/>
      <c r="J233" s="825"/>
      <c r="K233" s="816"/>
      <c r="L233" s="824"/>
      <c r="M233" s="825"/>
      <c r="N233" s="824"/>
      <c r="O233" s="825"/>
      <c r="P233" s="287"/>
    </row>
    <row r="234" spans="1:16" s="138" customFormat="1" x14ac:dyDescent="0.25">
      <c r="A234" s="816"/>
      <c r="B234" s="587"/>
      <c r="C234" s="816"/>
      <c r="D234" s="816"/>
      <c r="E234" s="816"/>
      <c r="F234" s="824"/>
      <c r="G234" s="824"/>
      <c r="H234" s="825"/>
      <c r="I234" s="824"/>
      <c r="J234" s="825"/>
      <c r="K234" s="816"/>
      <c r="L234" s="824"/>
      <c r="M234" s="825"/>
      <c r="N234" s="824"/>
      <c r="O234" s="825"/>
      <c r="P234" s="287"/>
    </row>
    <row r="235" spans="1:16" s="138" customFormat="1" x14ac:dyDescent="0.25">
      <c r="A235" s="816"/>
      <c r="B235" s="587"/>
      <c r="C235" s="816"/>
      <c r="D235" s="816"/>
      <c r="E235" s="816"/>
      <c r="F235" s="824"/>
      <c r="G235" s="824"/>
      <c r="H235" s="825"/>
      <c r="I235" s="824"/>
      <c r="J235" s="825"/>
      <c r="K235" s="816"/>
      <c r="L235" s="824"/>
      <c r="M235" s="825"/>
      <c r="N235" s="824"/>
      <c r="O235" s="825"/>
      <c r="P235" s="287"/>
    </row>
    <row r="236" spans="1:16" s="138" customFormat="1" x14ac:dyDescent="0.25">
      <c r="A236" s="816"/>
      <c r="B236" s="587"/>
      <c r="C236" s="816"/>
      <c r="D236" s="816"/>
      <c r="E236" s="816"/>
      <c r="F236" s="824"/>
      <c r="G236" s="824"/>
      <c r="H236" s="825"/>
      <c r="I236" s="824"/>
      <c r="J236" s="825"/>
      <c r="K236" s="816"/>
      <c r="L236" s="824"/>
      <c r="M236" s="825"/>
      <c r="N236" s="824"/>
      <c r="O236" s="825"/>
      <c r="P236" s="287"/>
    </row>
    <row r="237" spans="1:16" s="138" customFormat="1" x14ac:dyDescent="0.25">
      <c r="A237" s="816"/>
      <c r="B237" s="587"/>
      <c r="C237" s="816"/>
      <c r="D237" s="816"/>
      <c r="E237" s="816"/>
      <c r="F237" s="824"/>
      <c r="G237" s="824"/>
      <c r="H237" s="825"/>
      <c r="I237" s="824"/>
      <c r="J237" s="825"/>
      <c r="K237" s="816"/>
      <c r="L237" s="824"/>
      <c r="M237" s="825"/>
      <c r="N237" s="824"/>
      <c r="O237" s="825"/>
      <c r="P237" s="287"/>
    </row>
    <row r="238" spans="1:16" s="138" customFormat="1" x14ac:dyDescent="0.25">
      <c r="A238" s="816"/>
      <c r="B238" s="587"/>
      <c r="C238" s="816"/>
      <c r="D238" s="816"/>
      <c r="E238" s="816"/>
      <c r="F238" s="824"/>
      <c r="G238" s="824"/>
      <c r="H238" s="825"/>
      <c r="I238" s="824"/>
      <c r="J238" s="825"/>
      <c r="K238" s="816"/>
      <c r="L238" s="824"/>
      <c r="M238" s="825"/>
      <c r="N238" s="824"/>
      <c r="O238" s="825"/>
      <c r="P238" s="287"/>
    </row>
    <row r="239" spans="1:16" s="138" customFormat="1" x14ac:dyDescent="0.25">
      <c r="A239" s="816"/>
      <c r="B239" s="587"/>
      <c r="C239" s="816"/>
      <c r="D239" s="816"/>
      <c r="E239" s="816"/>
      <c r="F239" s="824"/>
      <c r="G239" s="824"/>
      <c r="H239" s="825"/>
      <c r="I239" s="824"/>
      <c r="J239" s="825"/>
      <c r="K239" s="816"/>
      <c r="L239" s="824"/>
      <c r="M239" s="825"/>
      <c r="N239" s="824"/>
      <c r="O239" s="825"/>
      <c r="P239" s="287"/>
    </row>
    <row r="240" spans="1:16" s="138" customFormat="1" x14ac:dyDescent="0.25">
      <c r="A240" s="816"/>
      <c r="B240" s="587"/>
      <c r="C240" s="816"/>
      <c r="D240" s="816"/>
      <c r="E240" s="816"/>
      <c r="F240" s="824"/>
      <c r="G240" s="824"/>
      <c r="H240" s="825"/>
      <c r="I240" s="824"/>
      <c r="J240" s="825"/>
      <c r="K240" s="816"/>
      <c r="L240" s="824"/>
      <c r="M240" s="825"/>
      <c r="N240" s="824"/>
      <c r="O240" s="825"/>
      <c r="P240" s="287"/>
    </row>
    <row r="241" spans="1:16" s="138" customFormat="1" x14ac:dyDescent="0.25">
      <c r="A241" s="816"/>
      <c r="B241" s="587"/>
      <c r="C241" s="816"/>
      <c r="D241" s="816"/>
      <c r="E241" s="816"/>
      <c r="F241" s="824"/>
      <c r="G241" s="824"/>
      <c r="H241" s="825"/>
      <c r="I241" s="824"/>
      <c r="J241" s="825"/>
      <c r="K241" s="816"/>
      <c r="L241" s="824"/>
      <c r="M241" s="825"/>
      <c r="N241" s="824"/>
      <c r="O241" s="825"/>
      <c r="P241" s="287"/>
    </row>
    <row r="242" spans="1:16" s="138" customFormat="1" x14ac:dyDescent="0.25">
      <c r="A242" s="816"/>
      <c r="B242" s="587"/>
      <c r="C242" s="816"/>
      <c r="D242" s="816"/>
      <c r="E242" s="816"/>
      <c r="F242" s="824"/>
      <c r="G242" s="824"/>
      <c r="H242" s="825"/>
      <c r="I242" s="824"/>
      <c r="J242" s="825"/>
      <c r="K242" s="816"/>
      <c r="L242" s="824"/>
      <c r="M242" s="825"/>
      <c r="N242" s="824"/>
      <c r="O242" s="825"/>
      <c r="P242" s="287"/>
    </row>
    <row r="243" spans="1:16" s="138" customFormat="1" x14ac:dyDescent="0.25">
      <c r="A243" s="816"/>
      <c r="B243" s="587"/>
      <c r="C243" s="816"/>
      <c r="D243" s="816"/>
      <c r="E243" s="816"/>
      <c r="F243" s="824"/>
      <c r="G243" s="824"/>
      <c r="H243" s="825"/>
      <c r="I243" s="824"/>
      <c r="J243" s="825"/>
      <c r="K243" s="816"/>
      <c r="L243" s="824"/>
      <c r="M243" s="825"/>
      <c r="N243" s="824"/>
      <c r="O243" s="825"/>
      <c r="P243" s="287"/>
    </row>
    <row r="244" spans="1:16" s="138" customFormat="1" x14ac:dyDescent="0.25">
      <c r="A244" s="816"/>
      <c r="B244" s="587"/>
      <c r="C244" s="816"/>
      <c r="D244" s="816"/>
      <c r="E244" s="816"/>
      <c r="F244" s="824"/>
      <c r="G244" s="824"/>
      <c r="H244" s="825"/>
      <c r="I244" s="824"/>
      <c r="J244" s="825"/>
      <c r="K244" s="816"/>
      <c r="L244" s="824"/>
      <c r="M244" s="825"/>
      <c r="N244" s="824"/>
      <c r="O244" s="825"/>
      <c r="P244" s="287"/>
    </row>
    <row r="245" spans="1:16" s="138" customFormat="1" x14ac:dyDescent="0.25">
      <c r="A245" s="816"/>
      <c r="B245" s="587"/>
      <c r="C245" s="816"/>
      <c r="D245" s="816"/>
      <c r="E245" s="816"/>
      <c r="F245" s="824"/>
      <c r="G245" s="824"/>
      <c r="H245" s="825"/>
      <c r="I245" s="824"/>
      <c r="J245" s="825"/>
      <c r="K245" s="816"/>
      <c r="L245" s="824"/>
      <c r="M245" s="825"/>
      <c r="N245" s="824"/>
      <c r="O245" s="825"/>
      <c r="P245" s="287"/>
    </row>
    <row r="246" spans="1:16" s="138" customFormat="1" x14ac:dyDescent="0.25">
      <c r="A246" s="816"/>
      <c r="B246" s="587"/>
      <c r="C246" s="816"/>
      <c r="D246" s="816"/>
      <c r="E246" s="816"/>
      <c r="F246" s="824"/>
      <c r="G246" s="824"/>
      <c r="H246" s="825"/>
      <c r="I246" s="824"/>
      <c r="J246" s="825"/>
      <c r="K246" s="816"/>
      <c r="L246" s="824"/>
      <c r="M246" s="825"/>
      <c r="N246" s="824"/>
      <c r="O246" s="825"/>
      <c r="P246" s="287"/>
    </row>
    <row r="247" spans="1:16" s="138" customFormat="1" x14ac:dyDescent="0.25">
      <c r="A247" s="816"/>
      <c r="B247" s="587"/>
      <c r="C247" s="816"/>
      <c r="D247" s="816"/>
      <c r="E247" s="816"/>
      <c r="F247" s="824"/>
      <c r="G247" s="824"/>
      <c r="H247" s="825"/>
      <c r="I247" s="824"/>
      <c r="J247" s="825"/>
      <c r="K247" s="816"/>
      <c r="L247" s="824"/>
      <c r="M247" s="825"/>
      <c r="N247" s="824"/>
      <c r="O247" s="825"/>
      <c r="P247" s="287"/>
    </row>
    <row r="248" spans="1:16" s="138" customFormat="1" x14ac:dyDescent="0.25">
      <c r="A248" s="816"/>
      <c r="B248" s="587"/>
      <c r="C248" s="816"/>
      <c r="D248" s="816"/>
      <c r="E248" s="816"/>
      <c r="F248" s="824"/>
      <c r="G248" s="824"/>
      <c r="H248" s="825"/>
      <c r="I248" s="824"/>
      <c r="J248" s="825"/>
      <c r="K248" s="816"/>
      <c r="L248" s="824"/>
      <c r="M248" s="825"/>
      <c r="N248" s="824"/>
      <c r="O248" s="825"/>
      <c r="P248" s="287"/>
    </row>
    <row r="249" spans="1:16" s="138" customFormat="1" x14ac:dyDescent="0.25">
      <c r="A249" s="816"/>
      <c r="B249" s="587"/>
      <c r="C249" s="816"/>
      <c r="D249" s="816"/>
      <c r="E249" s="816"/>
      <c r="F249" s="824"/>
      <c r="G249" s="824"/>
      <c r="H249" s="825"/>
      <c r="I249" s="824"/>
      <c r="J249" s="825"/>
      <c r="K249" s="816"/>
      <c r="L249" s="824"/>
      <c r="M249" s="825"/>
      <c r="N249" s="824"/>
      <c r="O249" s="825"/>
      <c r="P249" s="287"/>
    </row>
    <row r="250" spans="1:16" s="138" customFormat="1" x14ac:dyDescent="0.25">
      <c r="A250" s="816"/>
      <c r="B250" s="587"/>
      <c r="C250" s="816"/>
      <c r="D250" s="816"/>
      <c r="E250" s="816"/>
      <c r="F250" s="824"/>
      <c r="G250" s="824"/>
      <c r="H250" s="825"/>
      <c r="I250" s="824"/>
      <c r="J250" s="825"/>
      <c r="K250" s="816"/>
      <c r="L250" s="824"/>
      <c r="M250" s="825"/>
      <c r="N250" s="824"/>
      <c r="O250" s="825"/>
      <c r="P250" s="287"/>
    </row>
    <row r="251" spans="1:16" s="138" customFormat="1" x14ac:dyDescent="0.25">
      <c r="A251" s="816"/>
      <c r="B251" s="587"/>
      <c r="C251" s="816"/>
      <c r="D251" s="816"/>
      <c r="E251" s="816"/>
      <c r="F251" s="824"/>
      <c r="G251" s="824"/>
      <c r="H251" s="825"/>
      <c r="I251" s="824"/>
      <c r="J251" s="825"/>
      <c r="K251" s="816"/>
      <c r="L251" s="824"/>
      <c r="M251" s="825"/>
      <c r="N251" s="824"/>
      <c r="O251" s="825"/>
      <c r="P251" s="287"/>
    </row>
    <row r="252" spans="1:16" s="138" customFormat="1" x14ac:dyDescent="0.25">
      <c r="A252" s="816"/>
      <c r="B252" s="587"/>
      <c r="C252" s="816"/>
      <c r="D252" s="816"/>
      <c r="E252" s="816"/>
      <c r="F252" s="824"/>
      <c r="G252" s="824"/>
      <c r="H252" s="825"/>
      <c r="I252" s="824"/>
      <c r="J252" s="825"/>
      <c r="K252" s="816"/>
      <c r="L252" s="824"/>
      <c r="M252" s="825"/>
      <c r="N252" s="824"/>
      <c r="O252" s="825"/>
      <c r="P252" s="287"/>
    </row>
    <row r="253" spans="1:16" s="138" customFormat="1" x14ac:dyDescent="0.25">
      <c r="A253" s="816"/>
      <c r="B253" s="587"/>
      <c r="C253" s="816"/>
      <c r="D253" s="816"/>
      <c r="E253" s="816"/>
      <c r="F253" s="824"/>
      <c r="G253" s="824"/>
      <c r="H253" s="825"/>
      <c r="I253" s="824"/>
      <c r="J253" s="825"/>
      <c r="K253" s="816"/>
      <c r="L253" s="824"/>
      <c r="M253" s="825"/>
      <c r="N253" s="824"/>
      <c r="O253" s="825"/>
      <c r="P253" s="287"/>
    </row>
    <row r="254" spans="1:16" s="138" customFormat="1" x14ac:dyDescent="0.25">
      <c r="A254" s="816"/>
      <c r="B254" s="587"/>
      <c r="C254" s="816"/>
      <c r="D254" s="816"/>
      <c r="E254" s="816"/>
      <c r="F254" s="824"/>
      <c r="G254" s="824"/>
      <c r="H254" s="825"/>
      <c r="I254" s="824"/>
      <c r="J254" s="825"/>
      <c r="K254" s="816"/>
      <c r="L254" s="824"/>
      <c r="M254" s="825"/>
      <c r="N254" s="824"/>
      <c r="O254" s="825"/>
      <c r="P254" s="287"/>
    </row>
    <row r="255" spans="1:16" s="138" customFormat="1" x14ac:dyDescent="0.25">
      <c r="A255" s="816"/>
      <c r="B255" s="587"/>
      <c r="C255" s="816"/>
      <c r="D255" s="816"/>
      <c r="E255" s="816"/>
      <c r="F255" s="824"/>
      <c r="G255" s="824"/>
      <c r="H255" s="825"/>
      <c r="I255" s="824"/>
      <c r="J255" s="825"/>
      <c r="K255" s="816"/>
      <c r="L255" s="824"/>
      <c r="M255" s="825"/>
      <c r="N255" s="824"/>
      <c r="O255" s="825"/>
      <c r="P255" s="287"/>
    </row>
    <row r="256" spans="1:16" s="138" customFormat="1" x14ac:dyDescent="0.25">
      <c r="A256" s="816"/>
      <c r="B256" s="587"/>
      <c r="C256" s="816"/>
      <c r="D256" s="816"/>
      <c r="E256" s="816"/>
      <c r="F256" s="824"/>
      <c r="G256" s="824"/>
      <c r="H256" s="825"/>
      <c r="I256" s="824"/>
      <c r="J256" s="825"/>
      <c r="K256" s="816"/>
      <c r="L256" s="824"/>
      <c r="M256" s="825"/>
      <c r="N256" s="824"/>
      <c r="O256" s="825"/>
      <c r="P256" s="287"/>
    </row>
    <row r="257" spans="1:16" s="138" customFormat="1" x14ac:dyDescent="0.25">
      <c r="A257" s="816"/>
      <c r="B257" s="587"/>
      <c r="C257" s="816"/>
      <c r="D257" s="816"/>
      <c r="E257" s="816"/>
      <c r="F257" s="824"/>
      <c r="G257" s="824"/>
      <c r="H257" s="825"/>
      <c r="I257" s="824"/>
      <c r="J257" s="825"/>
      <c r="K257" s="816"/>
      <c r="L257" s="824"/>
      <c r="M257" s="825"/>
      <c r="N257" s="824"/>
      <c r="O257" s="825"/>
      <c r="P257" s="287"/>
    </row>
    <row r="258" spans="1:16" s="138" customFormat="1" x14ac:dyDescent="0.25">
      <c r="A258" s="816"/>
      <c r="B258" s="587"/>
      <c r="C258" s="816"/>
      <c r="D258" s="816"/>
      <c r="E258" s="816"/>
      <c r="F258" s="824"/>
      <c r="G258" s="824"/>
      <c r="H258" s="825"/>
      <c r="I258" s="824"/>
      <c r="J258" s="825"/>
      <c r="K258" s="816"/>
      <c r="L258" s="824"/>
      <c r="M258" s="825"/>
      <c r="N258" s="824"/>
      <c r="O258" s="825"/>
      <c r="P258" s="287"/>
    </row>
    <row r="259" spans="1:16" s="138" customFormat="1" x14ac:dyDescent="0.25">
      <c r="A259" s="816"/>
      <c r="B259" s="587"/>
      <c r="C259" s="816"/>
      <c r="D259" s="816"/>
      <c r="E259" s="816"/>
      <c r="F259" s="824"/>
      <c r="G259" s="824"/>
      <c r="H259" s="825"/>
      <c r="I259" s="824"/>
      <c r="J259" s="825"/>
      <c r="K259" s="816"/>
      <c r="L259" s="824"/>
      <c r="M259" s="825"/>
      <c r="N259" s="824"/>
      <c r="O259" s="825"/>
      <c r="P259" s="287"/>
    </row>
    <row r="260" spans="1:16" s="138" customFormat="1" x14ac:dyDescent="0.25">
      <c r="A260" s="816"/>
      <c r="B260" s="587"/>
      <c r="C260" s="816"/>
      <c r="D260" s="816"/>
      <c r="E260" s="816"/>
      <c r="F260" s="824"/>
      <c r="G260" s="824"/>
      <c r="H260" s="825"/>
      <c r="I260" s="824"/>
      <c r="J260" s="825"/>
      <c r="K260" s="816"/>
      <c r="L260" s="824"/>
      <c r="M260" s="825"/>
      <c r="N260" s="824"/>
      <c r="O260" s="825"/>
      <c r="P260" s="287"/>
    </row>
    <row r="261" spans="1:16" s="138" customFormat="1" x14ac:dyDescent="0.25">
      <c r="A261" s="816"/>
      <c r="B261" s="587"/>
      <c r="C261" s="816"/>
      <c r="D261" s="816"/>
      <c r="E261" s="816"/>
      <c r="F261" s="824"/>
      <c r="G261" s="824"/>
      <c r="H261" s="825"/>
      <c r="I261" s="824"/>
      <c r="J261" s="825"/>
      <c r="K261" s="816"/>
      <c r="L261" s="824"/>
      <c r="M261" s="825"/>
      <c r="N261" s="824"/>
      <c r="O261" s="825"/>
      <c r="P261" s="287"/>
    </row>
    <row r="262" spans="1:16" s="138" customFormat="1" x14ac:dyDescent="0.25">
      <c r="A262" s="816"/>
      <c r="B262" s="587"/>
      <c r="C262" s="816"/>
      <c r="D262" s="816"/>
      <c r="E262" s="816"/>
      <c r="F262" s="824"/>
      <c r="G262" s="824"/>
      <c r="H262" s="825"/>
      <c r="I262" s="824"/>
      <c r="J262" s="825"/>
      <c r="K262" s="816"/>
      <c r="L262" s="824"/>
      <c r="M262" s="825"/>
      <c r="N262" s="824"/>
      <c r="O262" s="825"/>
      <c r="P262" s="287"/>
    </row>
    <row r="263" spans="1:16" s="138" customFormat="1" x14ac:dyDescent="0.25">
      <c r="A263" s="816"/>
      <c r="B263" s="587"/>
      <c r="C263" s="816"/>
      <c r="D263" s="816"/>
      <c r="E263" s="816"/>
      <c r="F263" s="824"/>
      <c r="G263" s="824"/>
      <c r="H263" s="825"/>
      <c r="I263" s="824"/>
      <c r="J263" s="825"/>
      <c r="K263" s="816"/>
      <c r="L263" s="824"/>
      <c r="M263" s="825"/>
      <c r="N263" s="824"/>
      <c r="O263" s="825"/>
      <c r="P263" s="287"/>
    </row>
    <row r="264" spans="1:16" s="138" customFormat="1" x14ac:dyDescent="0.25">
      <c r="A264" s="816"/>
      <c r="B264" s="587"/>
      <c r="C264" s="816"/>
      <c r="D264" s="816"/>
      <c r="E264" s="816"/>
      <c r="F264" s="824"/>
      <c r="G264" s="824"/>
      <c r="H264" s="825"/>
      <c r="I264" s="824"/>
      <c r="J264" s="825"/>
      <c r="K264" s="816"/>
      <c r="L264" s="824"/>
      <c r="M264" s="825"/>
      <c r="N264" s="824"/>
      <c r="O264" s="825"/>
      <c r="P264" s="287"/>
    </row>
    <row r="265" spans="1:16" s="138" customFormat="1" x14ac:dyDescent="0.25">
      <c r="A265" s="816"/>
      <c r="B265" s="587"/>
      <c r="C265" s="816"/>
      <c r="D265" s="816"/>
      <c r="E265" s="816"/>
      <c r="F265" s="824"/>
      <c r="G265" s="824"/>
      <c r="H265" s="825"/>
      <c r="I265" s="824"/>
      <c r="J265" s="825"/>
      <c r="K265" s="816"/>
      <c r="L265" s="824"/>
      <c r="M265" s="825"/>
      <c r="N265" s="824"/>
      <c r="O265" s="825"/>
      <c r="P265" s="287"/>
    </row>
    <row r="266" spans="1:16" s="138" customFormat="1" x14ac:dyDescent="0.25">
      <c r="A266" s="816"/>
      <c r="B266" s="587"/>
      <c r="C266" s="816"/>
      <c r="D266" s="816"/>
      <c r="E266" s="816"/>
      <c r="F266" s="824"/>
      <c r="G266" s="824"/>
      <c r="H266" s="825"/>
      <c r="I266" s="824"/>
      <c r="J266" s="825"/>
      <c r="K266" s="816"/>
      <c r="L266" s="824"/>
      <c r="M266" s="825"/>
      <c r="N266" s="824"/>
      <c r="O266" s="825"/>
      <c r="P266" s="287"/>
    </row>
    <row r="267" spans="1:16" s="138" customFormat="1" x14ac:dyDescent="0.25">
      <c r="A267" s="816"/>
      <c r="B267" s="587"/>
      <c r="C267" s="816"/>
      <c r="D267" s="816"/>
      <c r="E267" s="816"/>
      <c r="F267" s="824"/>
      <c r="G267" s="824"/>
      <c r="H267" s="825"/>
      <c r="I267" s="824"/>
      <c r="J267" s="825"/>
      <c r="K267" s="816"/>
      <c r="L267" s="824"/>
      <c r="M267" s="825"/>
      <c r="N267" s="824"/>
      <c r="O267" s="825"/>
      <c r="P267" s="287"/>
    </row>
    <row r="268" spans="1:16" s="138" customFormat="1" x14ac:dyDescent="0.25">
      <c r="A268" s="816"/>
      <c r="B268" s="587"/>
      <c r="C268" s="816"/>
      <c r="D268" s="816"/>
      <c r="E268" s="816"/>
      <c r="F268" s="824"/>
      <c r="G268" s="824"/>
      <c r="H268" s="825"/>
      <c r="I268" s="824"/>
      <c r="J268" s="825"/>
      <c r="K268" s="816"/>
      <c r="L268" s="824"/>
      <c r="M268" s="825"/>
      <c r="N268" s="824"/>
      <c r="O268" s="825"/>
      <c r="P268" s="287"/>
    </row>
    <row r="269" spans="1:16" s="138" customFormat="1" x14ac:dyDescent="0.25">
      <c r="A269" s="816"/>
      <c r="B269" s="587"/>
      <c r="C269" s="816"/>
      <c r="D269" s="816"/>
      <c r="E269" s="816"/>
      <c r="F269" s="824"/>
      <c r="G269" s="824"/>
      <c r="H269" s="825"/>
      <c r="I269" s="824"/>
      <c r="J269" s="825"/>
      <c r="K269" s="816"/>
      <c r="L269" s="824"/>
      <c r="M269" s="825"/>
      <c r="N269" s="824"/>
      <c r="O269" s="825"/>
      <c r="P269" s="287"/>
    </row>
    <row r="270" spans="1:16" s="138" customFormat="1" x14ac:dyDescent="0.25">
      <c r="A270" s="816"/>
      <c r="B270" s="587"/>
      <c r="C270" s="816"/>
      <c r="D270" s="816"/>
      <c r="E270" s="816"/>
      <c r="F270" s="824"/>
      <c r="G270" s="824"/>
      <c r="H270" s="825"/>
      <c r="I270" s="824"/>
      <c r="J270" s="825"/>
      <c r="K270" s="816"/>
      <c r="L270" s="824"/>
      <c r="M270" s="825"/>
      <c r="N270" s="824"/>
      <c r="O270" s="825"/>
      <c r="P270" s="287"/>
    </row>
    <row r="271" spans="1:16" s="138" customFormat="1" x14ac:dyDescent="0.25">
      <c r="A271" s="816"/>
      <c r="B271" s="587"/>
      <c r="C271" s="816"/>
      <c r="D271" s="816"/>
      <c r="E271" s="816"/>
      <c r="F271" s="824"/>
      <c r="G271" s="824"/>
      <c r="H271" s="825"/>
      <c r="I271" s="824"/>
      <c r="J271" s="825"/>
      <c r="K271" s="816"/>
      <c r="L271" s="824"/>
      <c r="M271" s="825"/>
      <c r="N271" s="824"/>
      <c r="O271" s="825"/>
      <c r="P271" s="287"/>
    </row>
    <row r="272" spans="1:16" s="138" customFormat="1" x14ac:dyDescent="0.25">
      <c r="A272" s="816"/>
      <c r="B272" s="587"/>
      <c r="C272" s="816"/>
      <c r="D272" s="816"/>
      <c r="E272" s="816"/>
      <c r="F272" s="824"/>
      <c r="G272" s="824"/>
      <c r="H272" s="825"/>
      <c r="I272" s="824"/>
      <c r="J272" s="825"/>
      <c r="K272" s="816"/>
      <c r="L272" s="824"/>
      <c r="M272" s="825"/>
      <c r="N272" s="824"/>
      <c r="O272" s="825"/>
      <c r="P272" s="287"/>
    </row>
    <row r="273" spans="1:16" s="138" customFormat="1" x14ac:dyDescent="0.25">
      <c r="A273" s="816"/>
      <c r="B273" s="587"/>
      <c r="C273" s="816"/>
      <c r="D273" s="816"/>
      <c r="E273" s="816"/>
      <c r="F273" s="824"/>
      <c r="G273" s="824"/>
      <c r="H273" s="825"/>
      <c r="I273" s="824"/>
      <c r="J273" s="825"/>
      <c r="K273" s="816"/>
      <c r="L273" s="824"/>
      <c r="M273" s="825"/>
      <c r="N273" s="824"/>
      <c r="O273" s="825"/>
      <c r="P273" s="287"/>
    </row>
    <row r="274" spans="1:16" s="138" customFormat="1" x14ac:dyDescent="0.25">
      <c r="A274" s="816"/>
      <c r="B274" s="587"/>
      <c r="C274" s="816"/>
      <c r="D274" s="816"/>
      <c r="E274" s="816"/>
      <c r="F274" s="824"/>
      <c r="G274" s="824"/>
      <c r="H274" s="825"/>
      <c r="I274" s="824"/>
      <c r="J274" s="825"/>
      <c r="K274" s="816"/>
      <c r="L274" s="824"/>
      <c r="M274" s="825"/>
      <c r="N274" s="824"/>
      <c r="O274" s="825"/>
      <c r="P274" s="287"/>
    </row>
    <row r="275" spans="1:16" s="138" customFormat="1" x14ac:dyDescent="0.25">
      <c r="A275" s="816"/>
      <c r="B275" s="587"/>
      <c r="C275" s="816"/>
      <c r="D275" s="816"/>
      <c r="E275" s="816"/>
      <c r="F275" s="824"/>
      <c r="G275" s="824"/>
      <c r="H275" s="825"/>
      <c r="I275" s="824"/>
      <c r="J275" s="825"/>
      <c r="K275" s="816"/>
      <c r="L275" s="824"/>
      <c r="M275" s="825"/>
      <c r="N275" s="824"/>
      <c r="O275" s="825"/>
      <c r="P275" s="287"/>
    </row>
    <row r="276" spans="1:16" s="138" customFormat="1" x14ac:dyDescent="0.25">
      <c r="A276" s="816"/>
      <c r="B276" s="587"/>
      <c r="C276" s="816"/>
      <c r="D276" s="816"/>
      <c r="E276" s="816"/>
      <c r="F276" s="824"/>
      <c r="G276" s="824"/>
      <c r="H276" s="825"/>
      <c r="I276" s="824"/>
      <c r="J276" s="825"/>
      <c r="K276" s="816"/>
      <c r="L276" s="824"/>
      <c r="M276" s="825"/>
      <c r="N276" s="824"/>
      <c r="O276" s="825"/>
      <c r="P276" s="287"/>
    </row>
    <row r="277" spans="1:16" s="138" customFormat="1" x14ac:dyDescent="0.25">
      <c r="A277" s="816"/>
      <c r="B277" s="587"/>
      <c r="C277" s="816"/>
      <c r="D277" s="816"/>
      <c r="E277" s="816"/>
      <c r="F277" s="824"/>
      <c r="G277" s="824"/>
      <c r="H277" s="825"/>
      <c r="I277" s="824"/>
      <c r="J277" s="825"/>
      <c r="K277" s="816"/>
      <c r="L277" s="824"/>
      <c r="M277" s="825"/>
      <c r="N277" s="824"/>
      <c r="O277" s="825"/>
      <c r="P277" s="287"/>
    </row>
    <row r="278" spans="1:16" s="138" customFormat="1" x14ac:dyDescent="0.25">
      <c r="A278" s="816"/>
      <c r="B278" s="587"/>
      <c r="C278" s="816"/>
      <c r="D278" s="816"/>
      <c r="E278" s="816"/>
      <c r="F278" s="824"/>
      <c r="G278" s="824"/>
      <c r="H278" s="825"/>
      <c r="I278" s="824"/>
      <c r="J278" s="825"/>
      <c r="K278" s="816"/>
      <c r="L278" s="824"/>
      <c r="M278" s="825"/>
      <c r="N278" s="824"/>
      <c r="O278" s="825"/>
      <c r="P278" s="287"/>
    </row>
    <row r="279" spans="1:16" s="138" customFormat="1" x14ac:dyDescent="0.25">
      <c r="A279" s="816"/>
      <c r="B279" s="587"/>
      <c r="C279" s="816"/>
      <c r="D279" s="816"/>
      <c r="E279" s="816"/>
      <c r="F279" s="824"/>
      <c r="G279" s="824"/>
      <c r="H279" s="825"/>
      <c r="I279" s="824"/>
      <c r="J279" s="825"/>
      <c r="K279" s="816"/>
      <c r="L279" s="824"/>
      <c r="M279" s="825"/>
      <c r="N279" s="824"/>
      <c r="O279" s="825"/>
      <c r="P279" s="287"/>
    </row>
    <row r="280" spans="1:16" s="138" customFormat="1" x14ac:dyDescent="0.25">
      <c r="A280" s="816"/>
      <c r="B280" s="587"/>
      <c r="C280" s="816"/>
      <c r="D280" s="816"/>
      <c r="E280" s="816"/>
      <c r="F280" s="824"/>
      <c r="G280" s="824"/>
      <c r="H280" s="825"/>
      <c r="I280" s="824"/>
      <c r="J280" s="825"/>
      <c r="K280" s="816"/>
      <c r="L280" s="824"/>
      <c r="M280" s="825"/>
      <c r="N280" s="824"/>
      <c r="O280" s="825"/>
      <c r="P280" s="287"/>
    </row>
    <row r="281" spans="1:16" s="138" customFormat="1" x14ac:dyDescent="0.25">
      <c r="A281" s="816"/>
      <c r="B281" s="587"/>
      <c r="C281" s="816"/>
      <c r="D281" s="816"/>
      <c r="E281" s="816"/>
      <c r="F281" s="824"/>
      <c r="G281" s="824"/>
      <c r="H281" s="825"/>
      <c r="I281" s="824"/>
      <c r="J281" s="825"/>
      <c r="K281" s="816"/>
      <c r="L281" s="824"/>
      <c r="M281" s="825"/>
      <c r="N281" s="824"/>
      <c r="O281" s="825"/>
      <c r="P281" s="287"/>
    </row>
    <row r="282" spans="1:16" s="138" customFormat="1" x14ac:dyDescent="0.25">
      <c r="A282" s="816"/>
      <c r="B282" s="587"/>
      <c r="C282" s="816"/>
      <c r="D282" s="816"/>
      <c r="E282" s="816"/>
      <c r="F282" s="824"/>
      <c r="G282" s="824"/>
      <c r="H282" s="825"/>
      <c r="I282" s="824"/>
      <c r="J282" s="825"/>
      <c r="K282" s="816"/>
      <c r="L282" s="824"/>
      <c r="M282" s="825"/>
      <c r="N282" s="824"/>
      <c r="O282" s="825"/>
      <c r="P282" s="287"/>
    </row>
    <row r="283" spans="1:16" s="138" customFormat="1" x14ac:dyDescent="0.25">
      <c r="A283" s="816"/>
      <c r="B283" s="587"/>
      <c r="C283" s="816"/>
      <c r="D283" s="816"/>
      <c r="E283" s="816"/>
      <c r="F283" s="824"/>
      <c r="G283" s="824"/>
      <c r="H283" s="825"/>
      <c r="I283" s="824"/>
      <c r="J283" s="825"/>
      <c r="K283" s="816"/>
      <c r="L283" s="824"/>
      <c r="M283" s="825"/>
      <c r="N283" s="824"/>
      <c r="O283" s="825"/>
      <c r="P283" s="287"/>
    </row>
    <row r="284" spans="1:16" s="138" customFormat="1" x14ac:dyDescent="0.25">
      <c r="A284" s="816"/>
      <c r="B284" s="587"/>
      <c r="C284" s="816"/>
      <c r="D284" s="816"/>
      <c r="E284" s="816"/>
      <c r="F284" s="824"/>
      <c r="G284" s="824"/>
      <c r="H284" s="825"/>
      <c r="I284" s="824"/>
      <c r="J284" s="825"/>
      <c r="K284" s="816"/>
      <c r="L284" s="824"/>
      <c r="M284" s="825"/>
      <c r="N284" s="824"/>
      <c r="O284" s="825"/>
      <c r="P284" s="287"/>
    </row>
    <row r="285" spans="1:16" s="138" customFormat="1" x14ac:dyDescent="0.25">
      <c r="A285" s="816"/>
      <c r="B285" s="587"/>
      <c r="C285" s="816"/>
      <c r="D285" s="816"/>
      <c r="E285" s="816"/>
      <c r="F285" s="824"/>
      <c r="G285" s="824"/>
      <c r="H285" s="825"/>
      <c r="I285" s="824"/>
      <c r="J285" s="825"/>
      <c r="K285" s="816"/>
      <c r="L285" s="824"/>
      <c r="M285" s="825"/>
      <c r="N285" s="824"/>
      <c r="O285" s="825"/>
      <c r="P285" s="287"/>
    </row>
    <row r="286" spans="1:16" s="138" customFormat="1" x14ac:dyDescent="0.25">
      <c r="A286" s="816"/>
      <c r="B286" s="587"/>
      <c r="C286" s="816"/>
      <c r="D286" s="816"/>
      <c r="E286" s="816"/>
      <c r="F286" s="824"/>
      <c r="G286" s="824"/>
      <c r="H286" s="825"/>
      <c r="I286" s="824"/>
      <c r="J286" s="825"/>
      <c r="K286" s="816"/>
      <c r="L286" s="824"/>
      <c r="M286" s="825"/>
      <c r="N286" s="824"/>
      <c r="O286" s="825"/>
      <c r="P286" s="287"/>
    </row>
    <row r="287" spans="1:16" s="138" customFormat="1" x14ac:dyDescent="0.25">
      <c r="A287" s="816"/>
      <c r="B287" s="587"/>
      <c r="C287" s="816"/>
      <c r="D287" s="816"/>
      <c r="E287" s="816"/>
      <c r="F287" s="824"/>
      <c r="G287" s="824"/>
      <c r="H287" s="825"/>
      <c r="I287" s="824"/>
      <c r="J287" s="825"/>
      <c r="K287" s="816"/>
      <c r="L287" s="824"/>
      <c r="M287" s="825"/>
      <c r="N287" s="824"/>
      <c r="O287" s="825"/>
      <c r="P287" s="287"/>
    </row>
    <row r="288" spans="1:16" s="138" customFormat="1" x14ac:dyDescent="0.25">
      <c r="A288" s="816"/>
      <c r="B288" s="587"/>
      <c r="C288" s="816"/>
      <c r="D288" s="816"/>
      <c r="E288" s="816"/>
      <c r="F288" s="824"/>
      <c r="G288" s="824"/>
      <c r="H288" s="825"/>
      <c r="I288" s="824"/>
      <c r="J288" s="825"/>
      <c r="K288" s="816"/>
      <c r="L288" s="824"/>
      <c r="M288" s="825"/>
      <c r="N288" s="824"/>
      <c r="O288" s="825"/>
      <c r="P288" s="287"/>
    </row>
    <row r="289" spans="1:16" s="138" customFormat="1" x14ac:dyDescent="0.25">
      <c r="A289" s="816"/>
      <c r="B289" s="587"/>
      <c r="C289" s="816"/>
      <c r="D289" s="816"/>
      <c r="E289" s="816"/>
      <c r="F289" s="824"/>
      <c r="G289" s="824"/>
      <c r="H289" s="825"/>
      <c r="I289" s="824"/>
      <c r="J289" s="825"/>
      <c r="K289" s="816"/>
      <c r="L289" s="824"/>
      <c r="M289" s="825"/>
      <c r="N289" s="824"/>
      <c r="O289" s="825"/>
      <c r="P289" s="287"/>
    </row>
    <row r="290" spans="1:16" s="138" customFormat="1" x14ac:dyDescent="0.25">
      <c r="A290" s="816"/>
      <c r="B290" s="587"/>
      <c r="C290" s="816"/>
      <c r="D290" s="816"/>
      <c r="E290" s="816"/>
      <c r="F290" s="824"/>
      <c r="G290" s="824"/>
      <c r="H290" s="825"/>
      <c r="I290" s="824"/>
      <c r="J290" s="825"/>
      <c r="K290" s="816"/>
      <c r="L290" s="824"/>
      <c r="M290" s="825"/>
      <c r="N290" s="824"/>
      <c r="O290" s="825"/>
      <c r="P290" s="287"/>
    </row>
    <row r="291" spans="1:16" s="138" customFormat="1" x14ac:dyDescent="0.25">
      <c r="A291" s="816"/>
      <c r="B291" s="587"/>
      <c r="C291" s="816"/>
      <c r="D291" s="816"/>
      <c r="E291" s="816"/>
      <c r="F291" s="824"/>
      <c r="G291" s="824"/>
      <c r="H291" s="825"/>
      <c r="I291" s="824"/>
      <c r="J291" s="825"/>
      <c r="K291" s="816"/>
      <c r="L291" s="824"/>
      <c r="M291" s="825"/>
      <c r="N291" s="824"/>
      <c r="O291" s="825"/>
      <c r="P291" s="287"/>
    </row>
    <row r="292" spans="1:16" s="138" customFormat="1" x14ac:dyDescent="0.25">
      <c r="A292" s="816"/>
      <c r="B292" s="587"/>
      <c r="C292" s="816"/>
      <c r="D292" s="816"/>
      <c r="E292" s="816"/>
      <c r="F292" s="824"/>
      <c r="G292" s="824"/>
      <c r="H292" s="825"/>
      <c r="I292" s="824"/>
      <c r="J292" s="825"/>
      <c r="K292" s="816"/>
      <c r="L292" s="824"/>
      <c r="M292" s="825"/>
      <c r="N292" s="824"/>
      <c r="O292" s="825"/>
      <c r="P292" s="287"/>
    </row>
    <row r="293" spans="1:16" s="138" customFormat="1" x14ac:dyDescent="0.25">
      <c r="A293" s="816"/>
      <c r="B293" s="587"/>
      <c r="C293" s="816"/>
      <c r="D293" s="816"/>
      <c r="E293" s="816"/>
      <c r="F293" s="824"/>
      <c r="G293" s="824"/>
      <c r="H293" s="825"/>
      <c r="I293" s="824"/>
      <c r="J293" s="825"/>
      <c r="K293" s="816"/>
      <c r="L293" s="824"/>
      <c r="M293" s="825"/>
      <c r="N293" s="824"/>
      <c r="O293" s="825"/>
      <c r="P293" s="287"/>
    </row>
    <row r="294" spans="1:16" s="138" customFormat="1" x14ac:dyDescent="0.25">
      <c r="A294" s="816"/>
      <c r="B294" s="587"/>
      <c r="C294" s="816"/>
      <c r="D294" s="816"/>
      <c r="E294" s="816"/>
      <c r="F294" s="824"/>
      <c r="G294" s="824"/>
      <c r="H294" s="825"/>
      <c r="I294" s="824"/>
      <c r="J294" s="825"/>
      <c r="K294" s="816"/>
      <c r="L294" s="824"/>
      <c r="M294" s="825"/>
      <c r="N294" s="824"/>
      <c r="O294" s="825"/>
      <c r="P294" s="287"/>
    </row>
    <row r="295" spans="1:16" s="138" customFormat="1" x14ac:dyDescent="0.25">
      <c r="A295" s="816"/>
      <c r="B295" s="587"/>
      <c r="C295" s="816"/>
      <c r="D295" s="816"/>
      <c r="E295" s="816"/>
      <c r="F295" s="824"/>
      <c r="G295" s="824"/>
      <c r="H295" s="825"/>
      <c r="I295" s="824"/>
      <c r="J295" s="825"/>
      <c r="K295" s="816"/>
      <c r="L295" s="824"/>
      <c r="M295" s="825"/>
      <c r="N295" s="824"/>
      <c r="O295" s="825"/>
      <c r="P295" s="287"/>
    </row>
    <row r="296" spans="1:16" s="138" customFormat="1" x14ac:dyDescent="0.25">
      <c r="A296" s="816"/>
      <c r="B296" s="587"/>
      <c r="C296" s="816"/>
      <c r="D296" s="816"/>
      <c r="E296" s="816"/>
      <c r="F296" s="824"/>
      <c r="G296" s="824"/>
      <c r="H296" s="825"/>
      <c r="I296" s="824"/>
      <c r="J296" s="825"/>
      <c r="K296" s="816"/>
      <c r="L296" s="824"/>
      <c r="M296" s="825"/>
      <c r="N296" s="824"/>
      <c r="O296" s="825"/>
      <c r="P296" s="287"/>
    </row>
    <row r="297" spans="1:16" s="138" customFormat="1" x14ac:dyDescent="0.25">
      <c r="A297" s="816"/>
      <c r="B297" s="587"/>
      <c r="C297" s="816"/>
      <c r="D297" s="816"/>
      <c r="E297" s="816"/>
      <c r="F297" s="824"/>
      <c r="G297" s="824"/>
      <c r="H297" s="825"/>
      <c r="I297" s="824"/>
      <c r="J297" s="825"/>
      <c r="K297" s="816"/>
      <c r="L297" s="824"/>
      <c r="M297" s="825"/>
      <c r="N297" s="824"/>
      <c r="O297" s="825"/>
      <c r="P297" s="287"/>
    </row>
    <row r="298" spans="1:16" s="138" customFormat="1" x14ac:dyDescent="0.25">
      <c r="A298" s="816"/>
      <c r="B298" s="587"/>
      <c r="C298" s="816"/>
      <c r="D298" s="816"/>
      <c r="E298" s="816"/>
      <c r="F298" s="824"/>
      <c r="G298" s="824"/>
      <c r="H298" s="825"/>
      <c r="I298" s="824"/>
      <c r="J298" s="825"/>
      <c r="K298" s="816"/>
      <c r="L298" s="824"/>
      <c r="M298" s="825"/>
      <c r="N298" s="824"/>
      <c r="O298" s="825"/>
      <c r="P298" s="287"/>
    </row>
    <row r="299" spans="1:16" s="138" customFormat="1" x14ac:dyDescent="0.25">
      <c r="A299" s="816"/>
      <c r="B299" s="587"/>
      <c r="C299" s="816"/>
      <c r="D299" s="816"/>
      <c r="E299" s="816"/>
      <c r="F299" s="824"/>
      <c r="G299" s="824"/>
      <c r="H299" s="825"/>
      <c r="I299" s="824"/>
      <c r="J299" s="825"/>
      <c r="K299" s="816"/>
      <c r="L299" s="824"/>
      <c r="M299" s="825"/>
      <c r="N299" s="824"/>
      <c r="O299" s="825"/>
      <c r="P299" s="287"/>
    </row>
    <row r="300" spans="1:16" s="138" customFormat="1" x14ac:dyDescent="0.25">
      <c r="A300" s="816"/>
      <c r="B300" s="587"/>
      <c r="C300" s="816"/>
      <c r="D300" s="816"/>
      <c r="E300" s="816"/>
      <c r="F300" s="824"/>
      <c r="G300" s="824"/>
      <c r="H300" s="825"/>
      <c r="I300" s="824"/>
      <c r="J300" s="825"/>
      <c r="K300" s="816"/>
      <c r="L300" s="824"/>
      <c r="M300" s="825"/>
      <c r="N300" s="824"/>
      <c r="O300" s="825"/>
      <c r="P300" s="287"/>
    </row>
    <row r="301" spans="1:16" s="138" customFormat="1" x14ac:dyDescent="0.25">
      <c r="A301" s="816"/>
      <c r="B301" s="587"/>
      <c r="C301" s="816"/>
      <c r="D301" s="816"/>
      <c r="E301" s="816"/>
      <c r="F301" s="824"/>
      <c r="G301" s="824"/>
      <c r="H301" s="825"/>
      <c r="I301" s="824"/>
      <c r="J301" s="825"/>
      <c r="K301" s="816"/>
      <c r="L301" s="824"/>
      <c r="M301" s="825"/>
      <c r="N301" s="824"/>
      <c r="O301" s="825"/>
      <c r="P301" s="287"/>
    </row>
    <row r="302" spans="1:16" s="138" customFormat="1" x14ac:dyDescent="0.25">
      <c r="A302" s="816"/>
      <c r="B302" s="587"/>
      <c r="C302" s="816"/>
      <c r="D302" s="816"/>
      <c r="E302" s="816"/>
      <c r="F302" s="824"/>
      <c r="G302" s="824"/>
      <c r="H302" s="825"/>
      <c r="I302" s="824"/>
      <c r="J302" s="825"/>
      <c r="K302" s="816"/>
      <c r="L302" s="824"/>
      <c r="M302" s="825"/>
      <c r="N302" s="824"/>
      <c r="O302" s="825"/>
      <c r="P302" s="287"/>
    </row>
    <row r="303" spans="1:16" s="138" customFormat="1" x14ac:dyDescent="0.25">
      <c r="A303" s="816"/>
      <c r="B303" s="587"/>
      <c r="C303" s="816"/>
      <c r="D303" s="816"/>
      <c r="E303" s="816"/>
      <c r="F303" s="824"/>
      <c r="G303" s="824"/>
      <c r="H303" s="825"/>
      <c r="I303" s="824"/>
      <c r="J303" s="825"/>
      <c r="K303" s="816"/>
      <c r="L303" s="824"/>
      <c r="M303" s="825"/>
      <c r="N303" s="824"/>
      <c r="O303" s="825"/>
      <c r="P303" s="287"/>
    </row>
    <row r="304" spans="1:16" s="138" customFormat="1" x14ac:dyDescent="0.25">
      <c r="A304" s="816"/>
      <c r="B304" s="587"/>
      <c r="C304" s="816"/>
      <c r="D304" s="816"/>
      <c r="E304" s="816"/>
      <c r="F304" s="824"/>
      <c r="G304" s="824"/>
      <c r="H304" s="825"/>
      <c r="I304" s="824"/>
      <c r="J304" s="825"/>
      <c r="K304" s="816"/>
      <c r="L304" s="824"/>
      <c r="M304" s="825"/>
      <c r="N304" s="824"/>
      <c r="O304" s="825"/>
      <c r="P304" s="287"/>
    </row>
    <row r="305" spans="1:16" s="138" customFormat="1" x14ac:dyDescent="0.25">
      <c r="A305" s="816"/>
      <c r="B305" s="587"/>
      <c r="C305" s="816"/>
      <c r="D305" s="816"/>
      <c r="E305" s="816"/>
      <c r="F305" s="824"/>
      <c r="G305" s="824"/>
      <c r="H305" s="825"/>
      <c r="I305" s="824"/>
      <c r="J305" s="825"/>
      <c r="K305" s="816"/>
      <c r="L305" s="824"/>
      <c r="M305" s="825"/>
      <c r="N305" s="824"/>
      <c r="O305" s="825"/>
      <c r="P305" s="287"/>
    </row>
    <row r="306" spans="1:16" s="138" customFormat="1" x14ac:dyDescent="0.25">
      <c r="A306" s="816"/>
      <c r="B306" s="587"/>
      <c r="C306" s="816"/>
      <c r="D306" s="816"/>
      <c r="E306" s="816"/>
      <c r="F306" s="824"/>
      <c r="G306" s="824"/>
      <c r="H306" s="825"/>
      <c r="I306" s="824"/>
      <c r="J306" s="825"/>
      <c r="K306" s="816"/>
      <c r="L306" s="824"/>
      <c r="M306" s="825"/>
      <c r="N306" s="824"/>
      <c r="O306" s="825"/>
      <c r="P306" s="287"/>
    </row>
    <row r="307" spans="1:16" s="138" customFormat="1" x14ac:dyDescent="0.25">
      <c r="A307" s="816"/>
      <c r="B307" s="587"/>
      <c r="C307" s="816"/>
      <c r="D307" s="816"/>
      <c r="E307" s="816"/>
      <c r="F307" s="824"/>
      <c r="G307" s="824"/>
      <c r="H307" s="825"/>
      <c r="I307" s="824"/>
      <c r="J307" s="825"/>
      <c r="K307" s="816"/>
      <c r="L307" s="824"/>
      <c r="M307" s="825"/>
      <c r="N307" s="824"/>
      <c r="O307" s="825"/>
      <c r="P307" s="287"/>
    </row>
    <row r="308" spans="1:16" s="138" customFormat="1" x14ac:dyDescent="0.25">
      <c r="A308" s="816"/>
      <c r="B308" s="587"/>
      <c r="C308" s="816"/>
      <c r="D308" s="816"/>
      <c r="E308" s="816"/>
      <c r="F308" s="824"/>
      <c r="G308" s="824"/>
      <c r="H308" s="825"/>
      <c r="I308" s="824"/>
      <c r="J308" s="825"/>
      <c r="K308" s="816"/>
      <c r="L308" s="824"/>
      <c r="M308" s="825"/>
      <c r="N308" s="824"/>
      <c r="O308" s="825"/>
      <c r="P308" s="287"/>
    </row>
    <row r="309" spans="1:16" s="138" customFormat="1" x14ac:dyDescent="0.25">
      <c r="A309" s="816"/>
      <c r="B309" s="587"/>
      <c r="C309" s="816"/>
      <c r="D309" s="816"/>
      <c r="E309" s="816"/>
      <c r="F309" s="824"/>
      <c r="G309" s="824"/>
      <c r="H309" s="825"/>
      <c r="I309" s="824"/>
      <c r="J309" s="825"/>
      <c r="K309" s="816"/>
      <c r="L309" s="824"/>
      <c r="M309" s="825"/>
      <c r="N309" s="824"/>
      <c r="O309" s="825"/>
      <c r="P309" s="287"/>
    </row>
    <row r="310" spans="1:16" s="138" customFormat="1" x14ac:dyDescent="0.25">
      <c r="A310" s="816"/>
      <c r="B310" s="587"/>
      <c r="C310" s="816"/>
      <c r="D310" s="816"/>
      <c r="E310" s="816"/>
      <c r="F310" s="824"/>
      <c r="G310" s="824"/>
      <c r="H310" s="825"/>
      <c r="I310" s="824"/>
      <c r="J310" s="825"/>
      <c r="K310" s="816"/>
      <c r="L310" s="824"/>
      <c r="M310" s="825"/>
      <c r="N310" s="824"/>
      <c r="O310" s="825"/>
      <c r="P310" s="287"/>
    </row>
    <row r="311" spans="1:16" s="138" customFormat="1" x14ac:dyDescent="0.25">
      <c r="A311" s="816"/>
      <c r="B311" s="587"/>
      <c r="C311" s="816"/>
      <c r="D311" s="816"/>
      <c r="E311" s="816"/>
      <c r="F311" s="824"/>
      <c r="G311" s="824"/>
      <c r="H311" s="825"/>
      <c r="I311" s="824"/>
      <c r="J311" s="825"/>
      <c r="K311" s="816"/>
      <c r="L311" s="824"/>
      <c r="M311" s="825"/>
      <c r="N311" s="824"/>
      <c r="O311" s="825"/>
      <c r="P311" s="287"/>
    </row>
    <row r="312" spans="1:16" s="138" customFormat="1" x14ac:dyDescent="0.25">
      <c r="A312" s="816"/>
      <c r="B312" s="587"/>
      <c r="C312" s="816"/>
      <c r="D312" s="816"/>
      <c r="E312" s="816"/>
      <c r="F312" s="824"/>
      <c r="G312" s="824"/>
      <c r="H312" s="825"/>
      <c r="I312" s="824"/>
      <c r="J312" s="825"/>
      <c r="K312" s="816"/>
      <c r="L312" s="824"/>
      <c r="M312" s="825"/>
      <c r="N312" s="824"/>
      <c r="O312" s="825"/>
      <c r="P312" s="287"/>
    </row>
    <row r="313" spans="1:16" s="138" customFormat="1" x14ac:dyDescent="0.25">
      <c r="A313" s="816"/>
      <c r="B313" s="587"/>
      <c r="C313" s="816"/>
      <c r="D313" s="816"/>
      <c r="E313" s="816"/>
      <c r="F313" s="824"/>
      <c r="G313" s="824"/>
      <c r="H313" s="825"/>
      <c r="I313" s="824"/>
      <c r="J313" s="825"/>
      <c r="K313" s="816"/>
      <c r="L313" s="824"/>
      <c r="M313" s="825"/>
      <c r="N313" s="824"/>
      <c r="O313" s="825"/>
      <c r="P313" s="287"/>
    </row>
    <row r="314" spans="1:16" s="138" customFormat="1" x14ac:dyDescent="0.25">
      <c r="A314" s="816"/>
      <c r="B314" s="587"/>
      <c r="C314" s="816"/>
      <c r="D314" s="816"/>
      <c r="E314" s="816"/>
      <c r="F314" s="824"/>
      <c r="G314" s="824"/>
      <c r="H314" s="825"/>
      <c r="I314" s="824"/>
      <c r="J314" s="825"/>
      <c r="K314" s="816"/>
      <c r="L314" s="824"/>
      <c r="M314" s="825"/>
      <c r="N314" s="824"/>
      <c r="O314" s="825"/>
      <c r="P314" s="287"/>
    </row>
    <row r="315" spans="1:16" s="138" customFormat="1" x14ac:dyDescent="0.25">
      <c r="A315" s="816"/>
      <c r="B315" s="587"/>
      <c r="C315" s="816"/>
      <c r="D315" s="816"/>
      <c r="E315" s="816"/>
      <c r="F315" s="824"/>
      <c r="G315" s="824"/>
      <c r="H315" s="825"/>
      <c r="I315" s="824"/>
      <c r="J315" s="825"/>
      <c r="K315" s="816"/>
      <c r="L315" s="824"/>
      <c r="M315" s="825"/>
      <c r="N315" s="824"/>
      <c r="O315" s="825"/>
      <c r="P315" s="287"/>
    </row>
    <row r="316" spans="1:16" s="138" customFormat="1" x14ac:dyDescent="0.25">
      <c r="A316" s="816"/>
      <c r="B316" s="587"/>
      <c r="C316" s="816"/>
      <c r="D316" s="816"/>
      <c r="E316" s="816"/>
      <c r="F316" s="824"/>
      <c r="G316" s="824"/>
      <c r="H316" s="825"/>
      <c r="I316" s="824"/>
      <c r="J316" s="825"/>
      <c r="K316" s="816"/>
      <c r="L316" s="824"/>
      <c r="M316" s="825"/>
      <c r="N316" s="824"/>
      <c r="O316" s="825"/>
      <c r="P316" s="287"/>
    </row>
    <row r="317" spans="1:16" s="138" customFormat="1" x14ac:dyDescent="0.25">
      <c r="A317" s="816"/>
      <c r="B317" s="587"/>
      <c r="C317" s="816"/>
      <c r="D317" s="816"/>
      <c r="E317" s="816"/>
      <c r="F317" s="824"/>
      <c r="G317" s="824"/>
      <c r="H317" s="825"/>
      <c r="I317" s="824"/>
      <c r="J317" s="825"/>
      <c r="K317" s="816"/>
      <c r="L317" s="824"/>
      <c r="M317" s="825"/>
      <c r="N317" s="824"/>
      <c r="O317" s="825"/>
      <c r="P317" s="287"/>
    </row>
    <row r="318" spans="1:16" s="138" customFormat="1" x14ac:dyDescent="0.25">
      <c r="A318" s="816"/>
      <c r="B318" s="587"/>
      <c r="C318" s="816"/>
      <c r="D318" s="816"/>
      <c r="E318" s="816"/>
      <c r="F318" s="824"/>
      <c r="G318" s="824"/>
      <c r="H318" s="825"/>
      <c r="I318" s="824"/>
      <c r="J318" s="825"/>
      <c r="K318" s="816"/>
      <c r="L318" s="824"/>
      <c r="M318" s="825"/>
      <c r="N318" s="824"/>
      <c r="O318" s="825"/>
      <c r="P318" s="287"/>
    </row>
    <row r="319" spans="1:16" s="138" customFormat="1" x14ac:dyDescent="0.25">
      <c r="A319" s="816"/>
      <c r="B319" s="587"/>
      <c r="C319" s="816"/>
      <c r="D319" s="816"/>
      <c r="E319" s="816"/>
      <c r="F319" s="824"/>
      <c r="G319" s="824"/>
      <c r="H319" s="825"/>
      <c r="I319" s="824"/>
      <c r="J319" s="825"/>
      <c r="K319" s="816"/>
      <c r="L319" s="824"/>
      <c r="M319" s="825"/>
      <c r="N319" s="824"/>
      <c r="O319" s="825"/>
      <c r="P319" s="287"/>
    </row>
    <row r="320" spans="1:16" s="138" customFormat="1" x14ac:dyDescent="0.25">
      <c r="A320" s="816"/>
      <c r="B320" s="587"/>
      <c r="C320" s="816"/>
      <c r="D320" s="816"/>
      <c r="E320" s="816"/>
      <c r="F320" s="824"/>
      <c r="G320" s="824"/>
      <c r="H320" s="825"/>
      <c r="I320" s="824"/>
      <c r="J320" s="825"/>
      <c r="K320" s="816"/>
      <c r="L320" s="824"/>
      <c r="M320" s="825"/>
      <c r="N320" s="824"/>
      <c r="O320" s="825"/>
      <c r="P320" s="287"/>
    </row>
    <row r="321" spans="1:16" s="138" customFormat="1" x14ac:dyDescent="0.25">
      <c r="A321" s="816"/>
      <c r="B321" s="587"/>
      <c r="C321" s="816"/>
      <c r="D321" s="816"/>
      <c r="E321" s="816"/>
      <c r="F321" s="824"/>
      <c r="G321" s="824"/>
      <c r="H321" s="825"/>
      <c r="I321" s="824"/>
      <c r="J321" s="825"/>
      <c r="K321" s="816"/>
      <c r="L321" s="824"/>
      <c r="M321" s="825"/>
      <c r="N321" s="824"/>
      <c r="O321" s="825"/>
      <c r="P321" s="287"/>
    </row>
    <row r="322" spans="1:16" s="138" customFormat="1" x14ac:dyDescent="0.25">
      <c r="A322" s="816"/>
      <c r="B322" s="587"/>
      <c r="C322" s="816"/>
      <c r="D322" s="816"/>
      <c r="E322" s="816"/>
      <c r="F322" s="824"/>
      <c r="G322" s="824"/>
      <c r="H322" s="825"/>
      <c r="I322" s="824"/>
      <c r="J322" s="825"/>
      <c r="K322" s="816"/>
      <c r="L322" s="824"/>
      <c r="M322" s="825"/>
      <c r="N322" s="824"/>
      <c r="O322" s="825"/>
      <c r="P322" s="287"/>
    </row>
    <row r="323" spans="1:16" s="138" customFormat="1" x14ac:dyDescent="0.25">
      <c r="A323" s="816"/>
      <c r="B323" s="587"/>
      <c r="C323" s="816"/>
      <c r="D323" s="816"/>
      <c r="E323" s="816"/>
      <c r="F323" s="824"/>
      <c r="G323" s="824"/>
      <c r="H323" s="825"/>
      <c r="I323" s="824"/>
      <c r="J323" s="825"/>
      <c r="K323" s="816"/>
      <c r="L323" s="824"/>
      <c r="M323" s="825"/>
      <c r="N323" s="824"/>
      <c r="O323" s="825"/>
      <c r="P323" s="287"/>
    </row>
    <row r="324" spans="1:16" s="138" customFormat="1" x14ac:dyDescent="0.25">
      <c r="A324" s="816"/>
      <c r="B324" s="587"/>
      <c r="C324" s="816"/>
      <c r="D324" s="816"/>
      <c r="E324" s="816"/>
      <c r="F324" s="824"/>
      <c r="G324" s="824"/>
      <c r="H324" s="825"/>
      <c r="I324" s="824"/>
      <c r="J324" s="825"/>
      <c r="K324" s="816"/>
      <c r="L324" s="824"/>
      <c r="M324" s="825"/>
      <c r="N324" s="824"/>
      <c r="O324" s="825"/>
      <c r="P324" s="287"/>
    </row>
    <row r="325" spans="1:16" s="138" customFormat="1" x14ac:dyDescent="0.25">
      <c r="A325" s="816"/>
      <c r="B325" s="587"/>
      <c r="C325" s="816"/>
      <c r="D325" s="816"/>
      <c r="E325" s="816"/>
      <c r="F325" s="824"/>
      <c r="G325" s="824"/>
      <c r="H325" s="825"/>
      <c r="I325" s="824"/>
      <c r="J325" s="825"/>
      <c r="K325" s="816"/>
      <c r="L325" s="824"/>
      <c r="M325" s="825"/>
      <c r="N325" s="824"/>
      <c r="O325" s="825"/>
      <c r="P325" s="287"/>
    </row>
    <row r="326" spans="1:16" s="138" customFormat="1" x14ac:dyDescent="0.25">
      <c r="A326" s="816"/>
      <c r="B326" s="587"/>
      <c r="C326" s="816"/>
      <c r="D326" s="816"/>
      <c r="E326" s="816"/>
      <c r="F326" s="824"/>
      <c r="G326" s="824"/>
      <c r="H326" s="825"/>
      <c r="I326" s="824"/>
      <c r="J326" s="825"/>
      <c r="K326" s="816"/>
      <c r="L326" s="824"/>
      <c r="M326" s="825"/>
      <c r="N326" s="824"/>
      <c r="O326" s="825"/>
      <c r="P326" s="287"/>
    </row>
    <row r="327" spans="1:16" s="138" customFormat="1" x14ac:dyDescent="0.25">
      <c r="A327" s="816"/>
      <c r="B327" s="587"/>
      <c r="C327" s="816"/>
      <c r="D327" s="816"/>
      <c r="E327" s="816"/>
      <c r="F327" s="824"/>
      <c r="G327" s="824"/>
      <c r="H327" s="825"/>
      <c r="I327" s="824"/>
      <c r="J327" s="825"/>
      <c r="K327" s="816"/>
      <c r="L327" s="824"/>
      <c r="M327" s="825"/>
      <c r="N327" s="824"/>
      <c r="O327" s="825"/>
      <c r="P327" s="287"/>
    </row>
    <row r="328" spans="1:16" s="138" customFormat="1" x14ac:dyDescent="0.25">
      <c r="A328" s="816"/>
      <c r="B328" s="587"/>
      <c r="C328" s="816"/>
      <c r="D328" s="816"/>
      <c r="E328" s="816"/>
      <c r="F328" s="824"/>
      <c r="G328" s="824"/>
      <c r="H328" s="825"/>
      <c r="I328" s="824"/>
      <c r="J328" s="825"/>
      <c r="K328" s="816"/>
      <c r="L328" s="824"/>
      <c r="M328" s="825"/>
      <c r="N328" s="824"/>
      <c r="O328" s="825"/>
      <c r="P328" s="287"/>
    </row>
    <row r="329" spans="1:16" s="138" customFormat="1" x14ac:dyDescent="0.25">
      <c r="A329" s="816"/>
      <c r="B329" s="587"/>
      <c r="C329" s="816"/>
      <c r="D329" s="816"/>
      <c r="E329" s="816"/>
      <c r="F329" s="824"/>
      <c r="G329" s="824"/>
      <c r="H329" s="825"/>
      <c r="I329" s="824"/>
      <c r="J329" s="825"/>
      <c r="K329" s="816"/>
      <c r="L329" s="824"/>
      <c r="M329" s="825"/>
      <c r="N329" s="824"/>
      <c r="O329" s="825"/>
      <c r="P329" s="287"/>
    </row>
    <row r="330" spans="1:16" s="138" customFormat="1" x14ac:dyDescent="0.25">
      <c r="A330" s="816"/>
      <c r="B330" s="587"/>
      <c r="C330" s="816"/>
      <c r="D330" s="816"/>
      <c r="E330" s="816"/>
      <c r="F330" s="824"/>
      <c r="G330" s="824"/>
      <c r="H330" s="825"/>
      <c r="I330" s="824"/>
      <c r="J330" s="825"/>
      <c r="K330" s="816"/>
      <c r="L330" s="824"/>
      <c r="M330" s="825"/>
      <c r="N330" s="824"/>
      <c r="O330" s="825"/>
      <c r="P330" s="287"/>
    </row>
    <row r="331" spans="1:16" s="138" customFormat="1" x14ac:dyDescent="0.25">
      <c r="A331" s="816"/>
      <c r="B331" s="587"/>
      <c r="C331" s="816"/>
      <c r="D331" s="816"/>
      <c r="E331" s="816"/>
      <c r="F331" s="824"/>
      <c r="G331" s="824"/>
      <c r="H331" s="825"/>
      <c r="I331" s="824"/>
      <c r="J331" s="825"/>
      <c r="K331" s="816"/>
      <c r="L331" s="824"/>
      <c r="M331" s="825"/>
      <c r="N331" s="824"/>
      <c r="O331" s="825"/>
      <c r="P331" s="287"/>
    </row>
    <row r="332" spans="1:16" s="138" customFormat="1" x14ac:dyDescent="0.25">
      <c r="A332" s="816"/>
      <c r="B332" s="587"/>
      <c r="C332" s="816"/>
      <c r="D332" s="816"/>
      <c r="E332" s="816"/>
      <c r="F332" s="824"/>
      <c r="G332" s="824"/>
      <c r="H332" s="825"/>
      <c r="I332" s="824"/>
      <c r="J332" s="825"/>
      <c r="K332" s="816"/>
      <c r="L332" s="824"/>
      <c r="M332" s="825"/>
      <c r="N332" s="824"/>
      <c r="O332" s="825"/>
      <c r="P332" s="287"/>
    </row>
    <row r="333" spans="1:16" s="138" customFormat="1" x14ac:dyDescent="0.25">
      <c r="A333" s="816"/>
      <c r="B333" s="587"/>
      <c r="C333" s="816"/>
      <c r="D333" s="816"/>
      <c r="E333" s="816"/>
      <c r="F333" s="824"/>
      <c r="G333" s="824"/>
      <c r="H333" s="825"/>
      <c r="I333" s="824"/>
      <c r="J333" s="825"/>
      <c r="K333" s="816"/>
      <c r="L333" s="824"/>
      <c r="M333" s="825"/>
      <c r="N333" s="824"/>
      <c r="O333" s="825"/>
      <c r="P333" s="287"/>
    </row>
    <row r="334" spans="1:16" s="138" customFormat="1" x14ac:dyDescent="0.25">
      <c r="A334" s="816"/>
      <c r="B334" s="587"/>
      <c r="C334" s="816"/>
      <c r="D334" s="816"/>
      <c r="E334" s="816"/>
      <c r="F334" s="824"/>
      <c r="G334" s="824"/>
      <c r="H334" s="825"/>
      <c r="I334" s="824"/>
      <c r="J334" s="825"/>
      <c r="K334" s="816"/>
      <c r="L334" s="824"/>
      <c r="M334" s="825"/>
      <c r="N334" s="824"/>
      <c r="O334" s="825"/>
      <c r="P334" s="287"/>
    </row>
    <row r="335" spans="1:16" s="138" customFormat="1" x14ac:dyDescent="0.25">
      <c r="A335" s="816"/>
      <c r="B335" s="587"/>
      <c r="C335" s="816"/>
      <c r="D335" s="816"/>
      <c r="E335" s="816"/>
      <c r="F335" s="824"/>
      <c r="G335" s="824"/>
      <c r="H335" s="825"/>
      <c r="I335" s="824"/>
      <c r="J335" s="825"/>
      <c r="K335" s="816"/>
      <c r="L335" s="824"/>
      <c r="M335" s="825"/>
      <c r="N335" s="824"/>
      <c r="O335" s="825"/>
      <c r="P335" s="287"/>
    </row>
    <row r="336" spans="1:16" s="138" customFormat="1" x14ac:dyDescent="0.25">
      <c r="A336" s="816"/>
      <c r="B336" s="587"/>
      <c r="C336" s="816"/>
      <c r="D336" s="816"/>
      <c r="E336" s="816"/>
      <c r="F336" s="824"/>
      <c r="G336" s="824"/>
      <c r="H336" s="825"/>
      <c r="I336" s="824"/>
      <c r="J336" s="825"/>
      <c r="K336" s="816"/>
      <c r="L336" s="824"/>
      <c r="M336" s="825"/>
      <c r="N336" s="824"/>
      <c r="O336" s="825"/>
      <c r="P336" s="287"/>
    </row>
    <row r="337" spans="1:16" s="138" customFormat="1" x14ac:dyDescent="0.25">
      <c r="A337" s="816"/>
      <c r="B337" s="587"/>
      <c r="C337" s="816"/>
      <c r="D337" s="816"/>
      <c r="E337" s="816"/>
      <c r="F337" s="824"/>
      <c r="G337" s="824"/>
      <c r="H337" s="825"/>
      <c r="I337" s="824"/>
      <c r="J337" s="825"/>
      <c r="K337" s="816"/>
      <c r="L337" s="824"/>
      <c r="M337" s="825"/>
      <c r="N337" s="824"/>
      <c r="O337" s="825"/>
      <c r="P337" s="287"/>
    </row>
    <row r="338" spans="1:16" s="138" customFormat="1" x14ac:dyDescent="0.25">
      <c r="A338" s="816"/>
      <c r="B338" s="587"/>
      <c r="C338" s="816"/>
      <c r="D338" s="816"/>
      <c r="E338" s="816"/>
      <c r="F338" s="824"/>
      <c r="G338" s="824"/>
      <c r="H338" s="825"/>
      <c r="I338" s="824"/>
      <c r="J338" s="825"/>
      <c r="K338" s="816"/>
      <c r="L338" s="824"/>
      <c r="M338" s="825"/>
      <c r="N338" s="824"/>
      <c r="O338" s="825"/>
      <c r="P338" s="287"/>
    </row>
    <row r="339" spans="1:16" s="138" customFormat="1" x14ac:dyDescent="0.25">
      <c r="A339" s="816"/>
      <c r="B339" s="587"/>
      <c r="C339" s="816"/>
      <c r="D339" s="816"/>
      <c r="E339" s="816"/>
      <c r="F339" s="824"/>
      <c r="G339" s="824"/>
      <c r="H339" s="825"/>
      <c r="I339" s="824"/>
      <c r="J339" s="825"/>
      <c r="K339" s="816"/>
      <c r="L339" s="824"/>
      <c r="M339" s="825"/>
      <c r="N339" s="824"/>
      <c r="O339" s="825"/>
      <c r="P339" s="287"/>
    </row>
    <row r="340" spans="1:16" s="138" customFormat="1" x14ac:dyDescent="0.25">
      <c r="A340" s="816"/>
      <c r="B340" s="587"/>
      <c r="C340" s="816"/>
      <c r="D340" s="816"/>
      <c r="E340" s="816"/>
      <c r="F340" s="824"/>
      <c r="G340" s="824"/>
      <c r="H340" s="825"/>
      <c r="I340" s="824"/>
      <c r="J340" s="825"/>
      <c r="K340" s="816"/>
      <c r="L340" s="824"/>
      <c r="M340" s="825"/>
      <c r="N340" s="824"/>
      <c r="O340" s="825"/>
      <c r="P340" s="287"/>
    </row>
    <row r="341" spans="1:16" s="138" customFormat="1" x14ac:dyDescent="0.25">
      <c r="A341" s="816"/>
      <c r="B341" s="587"/>
      <c r="C341" s="816"/>
      <c r="D341" s="816"/>
      <c r="E341" s="816"/>
      <c r="F341" s="824"/>
      <c r="G341" s="824"/>
      <c r="H341" s="825"/>
      <c r="I341" s="824"/>
      <c r="J341" s="825"/>
      <c r="K341" s="816"/>
      <c r="L341" s="824"/>
      <c r="M341" s="825"/>
      <c r="N341" s="824"/>
      <c r="O341" s="825"/>
      <c r="P341" s="287"/>
    </row>
    <row r="342" spans="1:16" s="138" customFormat="1" x14ac:dyDescent="0.25">
      <c r="A342" s="816"/>
      <c r="B342" s="587"/>
      <c r="C342" s="816"/>
      <c r="D342" s="816"/>
      <c r="E342" s="816"/>
      <c r="F342" s="824"/>
      <c r="G342" s="824"/>
      <c r="H342" s="825"/>
      <c r="I342" s="824"/>
      <c r="J342" s="825"/>
      <c r="K342" s="816"/>
      <c r="L342" s="824"/>
      <c r="M342" s="825"/>
      <c r="N342" s="824"/>
      <c r="O342" s="825"/>
      <c r="P342" s="287"/>
    </row>
    <row r="343" spans="1:16" s="138" customFormat="1" x14ac:dyDescent="0.25">
      <c r="A343" s="816"/>
      <c r="B343" s="587"/>
      <c r="C343" s="816"/>
      <c r="D343" s="816"/>
      <c r="E343" s="816"/>
      <c r="F343" s="824"/>
      <c r="G343" s="824"/>
      <c r="H343" s="825"/>
      <c r="I343" s="824"/>
      <c r="J343" s="825"/>
      <c r="K343" s="816"/>
      <c r="L343" s="824"/>
      <c r="M343" s="825"/>
      <c r="N343" s="824"/>
      <c r="O343" s="825"/>
      <c r="P343" s="287"/>
    </row>
    <row r="344" spans="1:16" s="138" customFormat="1" x14ac:dyDescent="0.25">
      <c r="A344" s="816"/>
      <c r="B344" s="587"/>
      <c r="C344" s="816"/>
      <c r="D344" s="816"/>
      <c r="E344" s="816"/>
      <c r="F344" s="824"/>
      <c r="G344" s="824"/>
      <c r="H344" s="825"/>
      <c r="I344" s="824"/>
      <c r="J344" s="825"/>
      <c r="K344" s="816"/>
      <c r="L344" s="824"/>
      <c r="M344" s="825"/>
      <c r="N344" s="824"/>
      <c r="O344" s="825"/>
      <c r="P344" s="287"/>
    </row>
    <row r="345" spans="1:16" s="138" customFormat="1" x14ac:dyDescent="0.25">
      <c r="A345" s="816"/>
      <c r="B345" s="587"/>
      <c r="C345" s="816"/>
      <c r="D345" s="816"/>
      <c r="E345" s="816"/>
      <c r="F345" s="824"/>
      <c r="G345" s="824"/>
      <c r="H345" s="825"/>
      <c r="I345" s="824"/>
      <c r="J345" s="825"/>
      <c r="K345" s="816"/>
      <c r="L345" s="824"/>
      <c r="M345" s="825"/>
      <c r="N345" s="824"/>
      <c r="O345" s="825"/>
      <c r="P345" s="287"/>
    </row>
    <row r="346" spans="1:16" s="138" customFormat="1" x14ac:dyDescent="0.25">
      <c r="A346" s="816"/>
      <c r="B346" s="587"/>
      <c r="C346" s="816"/>
      <c r="D346" s="816"/>
      <c r="E346" s="816"/>
      <c r="F346" s="824"/>
      <c r="G346" s="824"/>
      <c r="H346" s="825"/>
      <c r="I346" s="824"/>
      <c r="J346" s="825"/>
      <c r="K346" s="816"/>
      <c r="L346" s="824"/>
      <c r="M346" s="825"/>
      <c r="N346" s="824"/>
      <c r="O346" s="825"/>
      <c r="P346" s="287"/>
    </row>
    <row r="347" spans="1:16" s="138" customFormat="1" x14ac:dyDescent="0.25">
      <c r="A347" s="816"/>
      <c r="B347" s="587"/>
      <c r="C347" s="816"/>
      <c r="D347" s="816"/>
      <c r="E347" s="816"/>
      <c r="F347" s="824"/>
      <c r="G347" s="824"/>
      <c r="H347" s="825"/>
      <c r="I347" s="824"/>
      <c r="J347" s="825"/>
      <c r="K347" s="816"/>
      <c r="L347" s="824"/>
      <c r="M347" s="825"/>
      <c r="N347" s="824"/>
      <c r="O347" s="825"/>
      <c r="P347" s="287"/>
    </row>
    <row r="348" spans="1:16" s="138" customFormat="1" x14ac:dyDescent="0.25">
      <c r="A348" s="816"/>
      <c r="B348" s="587"/>
      <c r="C348" s="816"/>
      <c r="D348" s="816"/>
      <c r="E348" s="816"/>
      <c r="F348" s="824"/>
      <c r="G348" s="824"/>
      <c r="H348" s="825"/>
      <c r="I348" s="824"/>
      <c r="J348" s="825"/>
      <c r="K348" s="816"/>
      <c r="L348" s="824"/>
      <c r="M348" s="825"/>
      <c r="N348" s="824"/>
      <c r="O348" s="825"/>
      <c r="P348" s="287"/>
    </row>
    <row r="349" spans="1:16" s="138" customFormat="1" x14ac:dyDescent="0.25">
      <c r="A349" s="816"/>
      <c r="B349" s="587"/>
      <c r="C349" s="816"/>
      <c r="D349" s="816"/>
      <c r="E349" s="816"/>
      <c r="F349" s="824"/>
      <c r="G349" s="824"/>
      <c r="H349" s="825"/>
      <c r="I349" s="824"/>
      <c r="J349" s="825"/>
      <c r="K349" s="816"/>
      <c r="L349" s="824"/>
      <c r="M349" s="825"/>
      <c r="N349" s="824"/>
      <c r="O349" s="825"/>
      <c r="P349" s="287"/>
    </row>
    <row r="350" spans="1:16" s="138" customFormat="1" x14ac:dyDescent="0.25">
      <c r="A350" s="816"/>
      <c r="B350" s="587"/>
      <c r="C350" s="816"/>
      <c r="D350" s="816"/>
      <c r="E350" s="816"/>
      <c r="F350" s="824"/>
      <c r="G350" s="824"/>
      <c r="H350" s="825"/>
      <c r="I350" s="824"/>
      <c r="J350" s="825"/>
      <c r="K350" s="816"/>
      <c r="L350" s="824"/>
      <c r="M350" s="825"/>
      <c r="N350" s="824"/>
      <c r="O350" s="825"/>
      <c r="P350" s="287"/>
    </row>
    <row r="351" spans="1:16" s="138" customFormat="1" x14ac:dyDescent="0.25">
      <c r="A351" s="816"/>
      <c r="B351" s="587"/>
      <c r="C351" s="816"/>
      <c r="D351" s="816"/>
      <c r="E351" s="816"/>
      <c r="F351" s="824"/>
      <c r="G351" s="824"/>
      <c r="H351" s="825"/>
      <c r="I351" s="824"/>
      <c r="J351" s="825"/>
      <c r="K351" s="816"/>
      <c r="L351" s="824"/>
      <c r="M351" s="825"/>
      <c r="N351" s="824"/>
      <c r="O351" s="825"/>
      <c r="P351" s="287"/>
    </row>
    <row r="352" spans="1:16" s="138" customFormat="1" x14ac:dyDescent="0.25">
      <c r="A352" s="816"/>
      <c r="B352" s="587"/>
      <c r="C352" s="816"/>
      <c r="D352" s="816"/>
      <c r="E352" s="816"/>
      <c r="F352" s="824"/>
      <c r="G352" s="824"/>
      <c r="H352" s="825"/>
      <c r="I352" s="824"/>
      <c r="J352" s="825"/>
      <c r="K352" s="816"/>
      <c r="L352" s="824"/>
      <c r="M352" s="825"/>
      <c r="N352" s="824"/>
      <c r="O352" s="825"/>
      <c r="P352" s="287"/>
    </row>
    <row r="353" spans="1:16" s="138" customFormat="1" x14ac:dyDescent="0.25">
      <c r="A353" s="816"/>
      <c r="B353" s="587"/>
      <c r="C353" s="816"/>
      <c r="D353" s="816"/>
      <c r="E353" s="816"/>
      <c r="F353" s="824"/>
      <c r="G353" s="824"/>
      <c r="H353" s="825"/>
      <c r="I353" s="824"/>
      <c r="J353" s="825"/>
      <c r="K353" s="816"/>
      <c r="L353" s="824"/>
      <c r="M353" s="825"/>
      <c r="N353" s="824"/>
      <c r="O353" s="825"/>
      <c r="P353" s="287"/>
    </row>
    <row r="354" spans="1:16" s="138" customFormat="1" x14ac:dyDescent="0.25">
      <c r="A354" s="816"/>
      <c r="B354" s="587"/>
      <c r="C354" s="816"/>
      <c r="D354" s="816"/>
      <c r="E354" s="816"/>
      <c r="F354" s="824"/>
      <c r="G354" s="824"/>
      <c r="H354" s="825"/>
      <c r="I354" s="824"/>
      <c r="J354" s="825"/>
      <c r="K354" s="816"/>
      <c r="L354" s="824"/>
      <c r="M354" s="825"/>
      <c r="N354" s="824"/>
      <c r="O354" s="825"/>
      <c r="P354" s="287"/>
    </row>
    <row r="355" spans="1:16" s="138" customFormat="1" x14ac:dyDescent="0.25">
      <c r="A355" s="816"/>
      <c r="B355" s="587"/>
      <c r="C355" s="816"/>
      <c r="D355" s="816"/>
      <c r="E355" s="816"/>
      <c r="F355" s="824"/>
      <c r="G355" s="824"/>
      <c r="H355" s="825"/>
      <c r="I355" s="824"/>
      <c r="J355" s="825"/>
      <c r="K355" s="816"/>
      <c r="L355" s="824"/>
      <c r="M355" s="825"/>
      <c r="N355" s="824"/>
      <c r="O355" s="825"/>
      <c r="P355" s="287"/>
    </row>
    <row r="356" spans="1:16" s="138" customFormat="1" x14ac:dyDescent="0.25">
      <c r="A356" s="816"/>
      <c r="B356" s="587"/>
      <c r="C356" s="816"/>
      <c r="D356" s="816"/>
      <c r="E356" s="816"/>
      <c r="F356" s="824"/>
      <c r="G356" s="824"/>
      <c r="H356" s="825"/>
      <c r="I356" s="824"/>
      <c r="J356" s="825"/>
      <c r="K356" s="816"/>
      <c r="L356" s="824"/>
      <c r="M356" s="825"/>
      <c r="N356" s="824"/>
      <c r="O356" s="825"/>
      <c r="P356" s="287"/>
    </row>
    <row r="357" spans="1:16" s="138" customFormat="1" x14ac:dyDescent="0.25">
      <c r="A357" s="816"/>
      <c r="B357" s="587"/>
      <c r="C357" s="816"/>
      <c r="D357" s="816"/>
      <c r="E357" s="816"/>
      <c r="F357" s="824"/>
      <c r="G357" s="824"/>
      <c r="H357" s="825"/>
      <c r="I357" s="824"/>
      <c r="J357" s="825"/>
      <c r="K357" s="816"/>
      <c r="L357" s="824"/>
      <c r="M357" s="825"/>
      <c r="N357" s="824"/>
      <c r="O357" s="825"/>
      <c r="P357" s="287"/>
    </row>
    <row r="358" spans="1:16" s="138" customFormat="1" x14ac:dyDescent="0.25">
      <c r="A358" s="816"/>
      <c r="B358" s="587"/>
      <c r="C358" s="816"/>
      <c r="D358" s="816"/>
      <c r="E358" s="816"/>
      <c r="F358" s="824"/>
      <c r="G358" s="824"/>
      <c r="H358" s="825"/>
      <c r="I358" s="824"/>
      <c r="J358" s="825"/>
      <c r="K358" s="816"/>
      <c r="L358" s="824"/>
      <c r="M358" s="825"/>
      <c r="N358" s="824"/>
      <c r="O358" s="825"/>
      <c r="P358" s="287"/>
    </row>
    <row r="359" spans="1:16" s="138" customFormat="1" x14ac:dyDescent="0.25">
      <c r="A359" s="816"/>
      <c r="B359" s="587"/>
      <c r="C359" s="816"/>
      <c r="D359" s="816"/>
      <c r="E359" s="816"/>
      <c r="F359" s="824"/>
      <c r="G359" s="824"/>
      <c r="H359" s="825"/>
      <c r="I359" s="824"/>
      <c r="J359" s="825"/>
      <c r="K359" s="816"/>
      <c r="L359" s="824"/>
      <c r="M359" s="825"/>
      <c r="N359" s="824"/>
      <c r="O359" s="825"/>
      <c r="P359" s="287"/>
    </row>
    <row r="360" spans="1:16" s="138" customFormat="1" x14ac:dyDescent="0.25">
      <c r="A360" s="816"/>
      <c r="B360" s="587"/>
      <c r="C360" s="816"/>
      <c r="D360" s="816"/>
      <c r="E360" s="816"/>
      <c r="F360" s="824"/>
      <c r="G360" s="824"/>
      <c r="H360" s="825"/>
      <c r="I360" s="824"/>
      <c r="J360" s="825"/>
      <c r="K360" s="816"/>
      <c r="L360" s="824"/>
      <c r="M360" s="825"/>
      <c r="N360" s="824"/>
      <c r="O360" s="825"/>
      <c r="P360" s="287"/>
    </row>
    <row r="361" spans="1:16" s="138" customFormat="1" x14ac:dyDescent="0.25">
      <c r="A361" s="816"/>
      <c r="B361" s="587"/>
      <c r="C361" s="816"/>
      <c r="D361" s="816"/>
      <c r="E361" s="816"/>
      <c r="F361" s="824"/>
      <c r="G361" s="824"/>
      <c r="H361" s="825"/>
      <c r="I361" s="824"/>
      <c r="J361" s="825"/>
      <c r="K361" s="816"/>
      <c r="L361" s="824"/>
      <c r="M361" s="825"/>
      <c r="N361" s="824"/>
      <c r="O361" s="825"/>
      <c r="P361" s="287"/>
    </row>
  </sheetData>
  <mergeCells count="166">
    <mergeCell ref="A1:P1"/>
    <mergeCell ref="G82:G83"/>
    <mergeCell ref="H82:H83"/>
    <mergeCell ref="G76:G77"/>
    <mergeCell ref="H76:H77"/>
    <mergeCell ref="B78:B81"/>
    <mergeCell ref="C78:C79"/>
    <mergeCell ref="D78:D79"/>
    <mergeCell ref="E78:E79"/>
    <mergeCell ref="F78:F79"/>
    <mergeCell ref="G78:G79"/>
    <mergeCell ref="H78:H79"/>
    <mergeCell ref="F80:F81"/>
    <mergeCell ref="G80:G81"/>
    <mergeCell ref="H80:H81"/>
    <mergeCell ref="A76:A83"/>
    <mergeCell ref="B76:B77"/>
    <mergeCell ref="C76:C77"/>
    <mergeCell ref="D76:D77"/>
    <mergeCell ref="E76:E77"/>
    <mergeCell ref="C80:C81"/>
    <mergeCell ref="D80:D81"/>
    <mergeCell ref="E80:E81"/>
    <mergeCell ref="F69:F71"/>
    <mergeCell ref="A69:A74"/>
    <mergeCell ref="F76:F77"/>
    <mergeCell ref="B82:B83"/>
    <mergeCell ref="C82:C83"/>
    <mergeCell ref="D82:D83"/>
    <mergeCell ref="E82:E83"/>
    <mergeCell ref="F82:F83"/>
    <mergeCell ref="G69:G71"/>
    <mergeCell ref="H69:H71"/>
    <mergeCell ref="B72:B74"/>
    <mergeCell ref="C72:C74"/>
    <mergeCell ref="D72:D74"/>
    <mergeCell ref="E72:E74"/>
    <mergeCell ref="F72:F74"/>
    <mergeCell ref="G72:G74"/>
    <mergeCell ref="H72:H74"/>
    <mergeCell ref="B69:B71"/>
    <mergeCell ref="C69:C71"/>
    <mergeCell ref="D69:D71"/>
    <mergeCell ref="E69:E71"/>
    <mergeCell ref="L64:L66"/>
    <mergeCell ref="M64:M66"/>
    <mergeCell ref="B65:B66"/>
    <mergeCell ref="A67:A68"/>
    <mergeCell ref="K67:K68"/>
    <mergeCell ref="L67:L68"/>
    <mergeCell ref="M67:M68"/>
    <mergeCell ref="F59:F63"/>
    <mergeCell ref="G59:G63"/>
    <mergeCell ref="H59:H63"/>
    <mergeCell ref="A64:A66"/>
    <mergeCell ref="K64:K66"/>
    <mergeCell ref="A55:A56"/>
    <mergeCell ref="K55:K56"/>
    <mergeCell ref="L55:L56"/>
    <mergeCell ref="M55:M56"/>
    <mergeCell ref="A59:A63"/>
    <mergeCell ref="B59:B63"/>
    <mergeCell ref="C59:C63"/>
    <mergeCell ref="D59:D63"/>
    <mergeCell ref="E59:E63"/>
    <mergeCell ref="G47:G48"/>
    <mergeCell ref="H47:H48"/>
    <mergeCell ref="A50:A51"/>
    <mergeCell ref="B50:B51"/>
    <mergeCell ref="K50:K51"/>
    <mergeCell ref="L50:L51"/>
    <mergeCell ref="M50:M51"/>
    <mergeCell ref="A53:A54"/>
    <mergeCell ref="K53:K54"/>
    <mergeCell ref="L53:L54"/>
    <mergeCell ref="M53:M54"/>
    <mergeCell ref="A41:A48"/>
    <mergeCell ref="B47:B48"/>
    <mergeCell ref="C47:C48"/>
    <mergeCell ref="D47:D48"/>
    <mergeCell ref="E47:E48"/>
    <mergeCell ref="F47:F48"/>
    <mergeCell ref="G41:G42"/>
    <mergeCell ref="H41:H42"/>
    <mergeCell ref="B43:B46"/>
    <mergeCell ref="C43:C44"/>
    <mergeCell ref="D43:D44"/>
    <mergeCell ref="E43:E44"/>
    <mergeCell ref="F43:F44"/>
    <mergeCell ref="G43:G44"/>
    <mergeCell ref="H43:H44"/>
    <mergeCell ref="C45:C46"/>
    <mergeCell ref="G45:G46"/>
    <mergeCell ref="H45:H46"/>
    <mergeCell ref="B41:B42"/>
    <mergeCell ref="C41:C42"/>
    <mergeCell ref="D41:D42"/>
    <mergeCell ref="E41:E42"/>
    <mergeCell ref="F41:F42"/>
    <mergeCell ref="D45:D46"/>
    <mergeCell ref="E45:E46"/>
    <mergeCell ref="F45:F46"/>
    <mergeCell ref="A37:A38"/>
    <mergeCell ref="B37:B38"/>
    <mergeCell ref="C37:C38"/>
    <mergeCell ref="K37:K38"/>
    <mergeCell ref="L37:L38"/>
    <mergeCell ref="M37:M38"/>
    <mergeCell ref="G31:G33"/>
    <mergeCell ref="H31:H33"/>
    <mergeCell ref="B34:B36"/>
    <mergeCell ref="C34:C36"/>
    <mergeCell ref="D34:D36"/>
    <mergeCell ref="E34:E36"/>
    <mergeCell ref="F34:F36"/>
    <mergeCell ref="G34:G36"/>
    <mergeCell ref="H34:H36"/>
    <mergeCell ref="A31:A36"/>
    <mergeCell ref="B31:B33"/>
    <mergeCell ref="C31:C33"/>
    <mergeCell ref="D31:D33"/>
    <mergeCell ref="E31:E33"/>
    <mergeCell ref="F31:F33"/>
    <mergeCell ref="A23:A25"/>
    <mergeCell ref="K23:K25"/>
    <mergeCell ref="L23:L25"/>
    <mergeCell ref="M23:M25"/>
    <mergeCell ref="A26:A27"/>
    <mergeCell ref="K26:K27"/>
    <mergeCell ref="L26:L27"/>
    <mergeCell ref="M26:M27"/>
    <mergeCell ref="G15:G19"/>
    <mergeCell ref="H15:H19"/>
    <mergeCell ref="A21:A22"/>
    <mergeCell ref="K21:K22"/>
    <mergeCell ref="L21:L22"/>
    <mergeCell ref="M21:M22"/>
    <mergeCell ref="A15:A19"/>
    <mergeCell ref="B15:B19"/>
    <mergeCell ref="C15:C19"/>
    <mergeCell ref="D15:D19"/>
    <mergeCell ref="E15:E19"/>
    <mergeCell ref="F15:F19"/>
    <mergeCell ref="B24:B25"/>
    <mergeCell ref="C10:C13"/>
    <mergeCell ref="D10:D13"/>
    <mergeCell ref="E10:E13"/>
    <mergeCell ref="F10:F13"/>
    <mergeCell ref="G10:G13"/>
    <mergeCell ref="H10:H13"/>
    <mergeCell ref="N3:O3"/>
    <mergeCell ref="P3:P4"/>
    <mergeCell ref="A6:A13"/>
    <mergeCell ref="B6:B13"/>
    <mergeCell ref="C6:C9"/>
    <mergeCell ref="D6:D9"/>
    <mergeCell ref="E6:E9"/>
    <mergeCell ref="F6:F9"/>
    <mergeCell ref="G6:G9"/>
    <mergeCell ref="H6:H9"/>
    <mergeCell ref="A3:A4"/>
    <mergeCell ref="B3:B4"/>
    <mergeCell ref="C3:F3"/>
    <mergeCell ref="G3:H3"/>
    <mergeCell ref="I3:J3"/>
    <mergeCell ref="L3:M3"/>
  </mergeCells>
  <pageMargins left="0.5" right="0.5" top="0.5" bottom="0.5" header="0.05" footer="0.05"/>
  <pageSetup scale="71" fitToHeight="0"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92"/>
  <sheetViews>
    <sheetView workbookViewId="0">
      <selection activeCell="A2" sqref="A2"/>
    </sheetView>
  </sheetViews>
  <sheetFormatPr defaultColWidth="17.28515625" defaultRowHeight="15" x14ac:dyDescent="0.25"/>
  <cols>
    <col min="1" max="1" width="15" style="219" customWidth="1"/>
    <col min="2" max="2" width="8.7109375" style="49" customWidth="1"/>
    <col min="3" max="3" width="13.7109375" style="1" customWidth="1"/>
    <col min="4" max="4" width="4.28515625" style="1" bestFit="1" customWidth="1"/>
    <col min="5" max="5" width="13.42578125" style="1" customWidth="1"/>
    <col min="6" max="7" width="8.140625" style="1" customWidth="1"/>
    <col min="8" max="8" width="10.85546875" style="568" customWidth="1"/>
    <col min="9" max="9" width="10.7109375" style="4" customWidth="1"/>
    <col min="10" max="10" width="10.85546875" style="570" customWidth="1"/>
    <col min="11" max="11" width="12.28515625" style="4" customWidth="1"/>
    <col min="12" max="12" width="10.7109375" style="570" customWidth="1"/>
    <col min="13" max="13" width="12.85546875" style="1" customWidth="1"/>
    <col min="14" max="14" width="22.28515625" style="1" bestFit="1" customWidth="1"/>
    <col min="15" max="15" width="9.85546875" style="1" customWidth="1"/>
    <col min="16" max="16" width="14.85546875" style="568" customWidth="1"/>
    <col min="17" max="17" width="11.42578125" style="4" customWidth="1"/>
    <col min="18" max="18" width="12.85546875" style="570" customWidth="1"/>
    <col min="19" max="19" width="10.7109375" style="179" customWidth="1"/>
    <col min="20" max="20" width="10.7109375" style="570" customWidth="1"/>
    <col min="21" max="21" width="22.42578125" style="575" customWidth="1"/>
    <col min="22" max="23" width="17.28515625" style="11"/>
  </cols>
  <sheetData>
    <row r="1" spans="1:24" s="565" customFormat="1" ht="31.5" customHeight="1" x14ac:dyDescent="0.25">
      <c r="A1" s="1380" t="s">
        <v>5913</v>
      </c>
      <c r="B1" s="1380"/>
      <c r="C1" s="1380"/>
      <c r="D1" s="1380"/>
      <c r="E1" s="1380"/>
      <c r="F1" s="1380"/>
      <c r="G1" s="1380"/>
      <c r="H1" s="1380"/>
      <c r="I1" s="1380"/>
      <c r="J1" s="1380"/>
      <c r="K1" s="1380"/>
      <c r="L1" s="1380"/>
      <c r="M1" s="1380"/>
      <c r="N1" s="1380"/>
      <c r="O1" s="1380"/>
      <c r="P1" s="1380"/>
      <c r="Q1" s="1380"/>
      <c r="R1" s="1380"/>
      <c r="S1" s="1380"/>
      <c r="T1" s="1380"/>
      <c r="U1" s="1380"/>
      <c r="V1" s="561"/>
      <c r="W1" s="561"/>
      <c r="X1" s="561"/>
    </row>
    <row r="2" spans="1:24" s="565" customFormat="1" ht="15.75" x14ac:dyDescent="0.25">
      <c r="A2" s="725"/>
      <c r="B2" s="726"/>
      <c r="C2" s="727" t="s">
        <v>1</v>
      </c>
      <c r="D2" s="727"/>
      <c r="E2" s="727"/>
      <c r="F2" s="562"/>
      <c r="G2" s="562"/>
      <c r="H2" s="564"/>
      <c r="I2" s="563"/>
      <c r="J2" s="566"/>
      <c r="K2" s="558"/>
      <c r="L2" s="566"/>
      <c r="M2" s="562"/>
      <c r="N2" s="562"/>
      <c r="P2" s="564"/>
      <c r="Q2" s="567"/>
      <c r="R2" s="566"/>
      <c r="S2" s="558"/>
      <c r="T2" s="566"/>
      <c r="U2" s="574"/>
      <c r="V2" s="561"/>
      <c r="W2" s="561"/>
      <c r="X2" s="561"/>
    </row>
    <row r="3" spans="1:24" s="1066" customFormat="1" x14ac:dyDescent="0.25">
      <c r="A3" s="1397" t="s">
        <v>5267</v>
      </c>
      <c r="B3" s="1399" t="s">
        <v>968</v>
      </c>
      <c r="C3" s="1401" t="s">
        <v>5309</v>
      </c>
      <c r="D3" s="1401"/>
      <c r="E3" s="1401"/>
      <c r="F3" s="1401"/>
      <c r="G3" s="1401"/>
      <c r="H3" s="1401"/>
      <c r="I3" s="1402" t="s">
        <v>5314</v>
      </c>
      <c r="J3" s="1402"/>
      <c r="K3" s="1383" t="s">
        <v>5315</v>
      </c>
      <c r="L3" s="1384"/>
      <c r="M3" s="1387" t="s">
        <v>1028</v>
      </c>
      <c r="N3" s="1389" t="s">
        <v>1029</v>
      </c>
      <c r="O3" s="1391" t="s">
        <v>1030</v>
      </c>
      <c r="P3" s="1381" t="s">
        <v>1031</v>
      </c>
      <c r="Q3" s="1383" t="s">
        <v>1032</v>
      </c>
      <c r="R3" s="1384"/>
      <c r="S3" s="1385" t="s">
        <v>5316</v>
      </c>
      <c r="T3" s="1384"/>
      <c r="U3" s="1395" t="s">
        <v>5317</v>
      </c>
      <c r="V3" s="1060"/>
      <c r="W3" s="1060"/>
      <c r="X3" s="1065"/>
    </row>
    <row r="4" spans="1:24" s="1066" customFormat="1" ht="79.5" customHeight="1" thickBot="1" x14ac:dyDescent="0.3">
      <c r="A4" s="1398"/>
      <c r="B4" s="1400"/>
      <c r="C4" s="1062" t="s">
        <v>3</v>
      </c>
      <c r="D4" s="1062" t="s">
        <v>891</v>
      </c>
      <c r="E4" s="1062" t="s">
        <v>1001</v>
      </c>
      <c r="F4" s="319" t="s">
        <v>967</v>
      </c>
      <c r="G4" s="319" t="s">
        <v>5567</v>
      </c>
      <c r="H4" s="1061" t="s">
        <v>8</v>
      </c>
      <c r="I4" s="588" t="s">
        <v>9</v>
      </c>
      <c r="J4" s="1063" t="s">
        <v>11</v>
      </c>
      <c r="K4" s="588" t="s">
        <v>9</v>
      </c>
      <c r="L4" s="1064" t="s">
        <v>11</v>
      </c>
      <c r="M4" s="1388"/>
      <c r="N4" s="1390"/>
      <c r="O4" s="1392"/>
      <c r="P4" s="1382"/>
      <c r="Q4" s="588" t="s">
        <v>9</v>
      </c>
      <c r="R4" s="1064" t="s">
        <v>11</v>
      </c>
      <c r="S4" s="588" t="s">
        <v>9</v>
      </c>
      <c r="T4" s="1064" t="s">
        <v>11</v>
      </c>
      <c r="U4" s="1396"/>
      <c r="V4" s="1067"/>
      <c r="W4" s="1067"/>
    </row>
    <row r="5" spans="1:24" s="219" customFormat="1" ht="15.75" thickTop="1" x14ac:dyDescent="0.25">
      <c r="A5" s="59" t="s">
        <v>13</v>
      </c>
      <c r="B5" s="571"/>
      <c r="C5" s="572"/>
      <c r="D5" s="572"/>
      <c r="E5" s="572"/>
      <c r="F5" s="1210"/>
      <c r="G5" s="1210"/>
      <c r="H5" s="1212"/>
      <c r="I5" s="577"/>
      <c r="J5" s="605"/>
      <c r="K5" s="567"/>
      <c r="L5" s="573"/>
      <c r="M5" s="606"/>
      <c r="N5" s="578"/>
      <c r="O5" s="1211"/>
      <c r="P5" s="579"/>
      <c r="Q5" s="279"/>
      <c r="R5" s="580"/>
      <c r="S5" s="604"/>
      <c r="T5" s="573"/>
      <c r="U5" s="600"/>
      <c r="V5" s="565"/>
      <c r="W5" s="565"/>
    </row>
    <row r="6" spans="1:24" s="219" customFormat="1" x14ac:dyDescent="0.25">
      <c r="A6" s="1213">
        <v>1</v>
      </c>
      <c r="B6" s="1213" t="s">
        <v>18</v>
      </c>
      <c r="C6" s="1221" t="s">
        <v>15</v>
      </c>
      <c r="D6" s="1221">
        <v>1</v>
      </c>
      <c r="E6" s="1221">
        <v>119427467</v>
      </c>
      <c r="F6" s="1221" t="str">
        <f t="shared" ref="F6:F18" si="0">VLOOKUP(C6,cond,4,FALSE)</f>
        <v>C/A</v>
      </c>
      <c r="G6" s="1221">
        <v>314046</v>
      </c>
      <c r="H6" s="1542">
        <v>4.1890925558357703E-2</v>
      </c>
      <c r="I6" s="1543">
        <v>-3.5090133019219899E-2</v>
      </c>
      <c r="J6" s="1544">
        <v>3.5692476068496701E-8</v>
      </c>
      <c r="K6" s="1543">
        <v>-2.2891100000000001E-2</v>
      </c>
      <c r="L6" s="1217">
        <v>4.3537600000000001E-4</v>
      </c>
      <c r="M6" s="1545" t="s">
        <v>1004</v>
      </c>
      <c r="N6" s="1221" t="s">
        <v>1033</v>
      </c>
      <c r="O6" s="1221">
        <v>70744</v>
      </c>
      <c r="P6" s="1542" t="s">
        <v>1034</v>
      </c>
      <c r="Q6" s="1543">
        <v>2.6391808217593401E-2</v>
      </c>
      <c r="R6" s="1217">
        <v>5.0370850752037403E-22</v>
      </c>
      <c r="S6" s="1546">
        <v>2.4139299999999999E-2</v>
      </c>
      <c r="T6" s="1217">
        <v>2.7699999999999999E-18</v>
      </c>
      <c r="U6" s="602" t="s">
        <v>1035</v>
      </c>
      <c r="V6" s="565"/>
      <c r="W6" s="565"/>
    </row>
    <row r="7" spans="1:24" s="219" customFormat="1" x14ac:dyDescent="0.25">
      <c r="A7" s="1214">
        <v>3</v>
      </c>
      <c r="B7" s="1214" t="s">
        <v>38</v>
      </c>
      <c r="C7" s="1547" t="s">
        <v>37</v>
      </c>
      <c r="D7" s="1547">
        <v>2</v>
      </c>
      <c r="E7" s="1547">
        <v>165551201</v>
      </c>
      <c r="F7" s="1547" t="str">
        <f t="shared" si="0"/>
        <v>C/T</v>
      </c>
      <c r="G7" s="1221">
        <v>257706</v>
      </c>
      <c r="H7" s="1548">
        <v>0.120647726655608</v>
      </c>
      <c r="I7" s="1549">
        <v>-2.6411250497695399E-2</v>
      </c>
      <c r="J7" s="1550">
        <v>1.9370284808093401E-9</v>
      </c>
      <c r="K7" s="1549">
        <v>-1.0721899999999999E-2</v>
      </c>
      <c r="L7" s="1551">
        <v>2.6165399999999998E-2</v>
      </c>
      <c r="M7" s="1552" t="s">
        <v>1012</v>
      </c>
      <c r="N7" s="1547" t="s">
        <v>1036</v>
      </c>
      <c r="O7" s="1547">
        <v>15785</v>
      </c>
      <c r="P7" s="1548" t="s">
        <v>1037</v>
      </c>
      <c r="Q7" s="1549">
        <v>-2.8839490807212299E-2</v>
      </c>
      <c r="R7" s="1551">
        <v>3.3271588733073401E-24</v>
      </c>
      <c r="S7" s="1553">
        <v>-2.5832999999999998E-2</v>
      </c>
      <c r="T7" s="1551">
        <v>5.9700000000000001E-17</v>
      </c>
      <c r="U7" s="752" t="s">
        <v>1035</v>
      </c>
      <c r="V7" s="565"/>
      <c r="W7" s="565"/>
    </row>
    <row r="8" spans="1:24" s="219" customFormat="1" x14ac:dyDescent="0.25">
      <c r="A8" s="1214">
        <v>4</v>
      </c>
      <c r="B8" s="1214" t="s">
        <v>916</v>
      </c>
      <c r="C8" s="1547" t="s">
        <v>55</v>
      </c>
      <c r="D8" s="1547">
        <v>3</v>
      </c>
      <c r="E8" s="1547">
        <v>52833805</v>
      </c>
      <c r="F8" s="1547" t="str">
        <f t="shared" si="0"/>
        <v>A/C</v>
      </c>
      <c r="G8" s="1221">
        <v>320225</v>
      </c>
      <c r="H8" s="1548">
        <v>0.463409684496838</v>
      </c>
      <c r="I8" s="1549">
        <v>-1.4565065714319101E-2</v>
      </c>
      <c r="J8" s="1550">
        <v>3.7207190603100301E-8</v>
      </c>
      <c r="K8" s="1549">
        <v>-6.96241E-4</v>
      </c>
      <c r="L8" s="1551">
        <v>0.85928000000000004</v>
      </c>
      <c r="M8" s="1552" t="s">
        <v>53</v>
      </c>
      <c r="N8" s="1547" t="s">
        <v>1038</v>
      </c>
      <c r="O8" s="1547">
        <v>79478</v>
      </c>
      <c r="P8" s="1548" t="s">
        <v>1039</v>
      </c>
      <c r="Q8" s="1549">
        <v>-1.84788153281026E-2</v>
      </c>
      <c r="R8" s="1551">
        <v>1.26277796802535E-12</v>
      </c>
      <c r="S8" s="1553">
        <v>-1.5097599999999999E-2</v>
      </c>
      <c r="T8" s="1551">
        <v>2.16E-5</v>
      </c>
      <c r="U8" s="752" t="s">
        <v>1035</v>
      </c>
      <c r="V8" s="565"/>
      <c r="W8" s="565"/>
    </row>
    <row r="9" spans="1:24" s="219" customFormat="1" x14ac:dyDescent="0.25">
      <c r="A9" s="1214">
        <v>7</v>
      </c>
      <c r="B9" s="1214" t="s">
        <v>918</v>
      </c>
      <c r="C9" s="1547" t="s">
        <v>65</v>
      </c>
      <c r="D9" s="1547">
        <v>4</v>
      </c>
      <c r="E9" s="1547">
        <v>89625427</v>
      </c>
      <c r="F9" s="1547" t="str">
        <f t="shared" si="0"/>
        <v>C/G</v>
      </c>
      <c r="G9" s="1221">
        <v>314093</v>
      </c>
      <c r="H9" s="1548">
        <v>0.160209089983222</v>
      </c>
      <c r="I9" s="1549">
        <v>-1.9074501719241198E-2</v>
      </c>
      <c r="J9" s="1550">
        <v>5.9337275790283297E-8</v>
      </c>
      <c r="K9" s="1549">
        <v>-1.21277E-2</v>
      </c>
      <c r="L9" s="1551">
        <v>1.0386499999999999E-3</v>
      </c>
      <c r="M9" s="1552" t="s">
        <v>67</v>
      </c>
      <c r="N9" s="1547" t="s">
        <v>1040</v>
      </c>
      <c r="O9" s="1547">
        <v>27007</v>
      </c>
      <c r="P9" s="1548" t="s">
        <v>1041</v>
      </c>
      <c r="Q9" s="1549">
        <v>1.98030476573741E-2</v>
      </c>
      <c r="R9" s="1551">
        <v>9.148294810632009E-16</v>
      </c>
      <c r="S9" s="1553">
        <v>1.7187999999999998E-2</v>
      </c>
      <c r="T9" s="1551">
        <v>1.66E-11</v>
      </c>
      <c r="U9" s="752" t="s">
        <v>1035</v>
      </c>
      <c r="V9" s="565"/>
      <c r="W9" s="565"/>
    </row>
    <row r="10" spans="1:24" s="1555" customFormat="1" ht="60" x14ac:dyDescent="0.25">
      <c r="A10" s="1214">
        <v>9</v>
      </c>
      <c r="B10" s="1214" t="s">
        <v>82</v>
      </c>
      <c r="C10" s="1547" t="s">
        <v>81</v>
      </c>
      <c r="D10" s="1547">
        <v>6</v>
      </c>
      <c r="E10" s="1547">
        <v>7211818</v>
      </c>
      <c r="F10" s="1547" t="str">
        <f t="shared" si="0"/>
        <v>A/G</v>
      </c>
      <c r="G10" s="1221">
        <v>319090</v>
      </c>
      <c r="H10" s="1548">
        <v>0.43806154277789999</v>
      </c>
      <c r="I10" s="1549">
        <v>-1.3854814556914501E-2</v>
      </c>
      <c r="J10" s="1550">
        <v>8.2296355908608896E-8</v>
      </c>
      <c r="K10" s="1549">
        <v>-1.3170299999999999E-2</v>
      </c>
      <c r="L10" s="1551">
        <v>3.0600000000000001E-7</v>
      </c>
      <c r="M10" s="1552" t="s">
        <v>84</v>
      </c>
      <c r="N10" s="1547" t="s">
        <v>1042</v>
      </c>
      <c r="O10" s="1547">
        <v>4397</v>
      </c>
      <c r="P10" s="1548" t="s">
        <v>1043</v>
      </c>
      <c r="Q10" s="1549">
        <v>2.94085303493773E-2</v>
      </c>
      <c r="R10" s="1551">
        <v>2.4270520820348902E-31</v>
      </c>
      <c r="S10" s="1553">
        <v>2.86742E-2</v>
      </c>
      <c r="T10" s="1551">
        <v>3.6700000000000002E-30</v>
      </c>
      <c r="U10" s="752" t="s">
        <v>1044</v>
      </c>
      <c r="V10" s="1554"/>
      <c r="W10" s="1554"/>
    </row>
    <row r="11" spans="1:24" s="219" customFormat="1" x14ac:dyDescent="0.25">
      <c r="A11" s="1386">
        <v>11</v>
      </c>
      <c r="B11" s="1222" t="s">
        <v>923</v>
      </c>
      <c r="C11" s="1219" t="s">
        <v>95</v>
      </c>
      <c r="D11" s="1219">
        <v>6</v>
      </c>
      <c r="E11" s="1219">
        <v>127476516</v>
      </c>
      <c r="F11" s="1219" t="str">
        <f t="shared" si="0"/>
        <v>G/A</v>
      </c>
      <c r="G11" s="1224">
        <v>344369</v>
      </c>
      <c r="H11" s="1556">
        <v>0.53946056104643603</v>
      </c>
      <c r="I11" s="1557">
        <v>2.6103845742871098E-2</v>
      </c>
      <c r="J11" s="1558">
        <v>1.062434191949E-25</v>
      </c>
      <c r="K11" s="1557">
        <v>1.26201E-2</v>
      </c>
      <c r="L11" s="1218">
        <v>8.9991299999999993E-3</v>
      </c>
      <c r="M11" s="1559" t="s">
        <v>1021</v>
      </c>
      <c r="N11" s="1219" t="s">
        <v>1045</v>
      </c>
      <c r="O11" s="1219">
        <v>523</v>
      </c>
      <c r="P11" s="1556" t="s">
        <v>1046</v>
      </c>
      <c r="Q11" s="1557">
        <v>2.6346580121616999E-2</v>
      </c>
      <c r="R11" s="1218">
        <v>9.7102894509292794E-26</v>
      </c>
      <c r="S11" s="1560">
        <v>1.50251E-2</v>
      </c>
      <c r="T11" s="1218">
        <v>2.6929100000000002E-3</v>
      </c>
      <c r="U11" s="603" t="s">
        <v>1035</v>
      </c>
      <c r="V11" s="565"/>
      <c r="W11" s="565"/>
    </row>
    <row r="12" spans="1:24" s="1554" customFormat="1" ht="60" x14ac:dyDescent="0.25">
      <c r="A12" s="1386"/>
      <c r="B12" s="1213" t="s">
        <v>924</v>
      </c>
      <c r="C12" s="1221" t="s">
        <v>99</v>
      </c>
      <c r="D12" s="1221">
        <v>6</v>
      </c>
      <c r="E12" s="1221">
        <v>127767954</v>
      </c>
      <c r="F12" s="1221" t="str">
        <f t="shared" si="0"/>
        <v>G/A</v>
      </c>
      <c r="G12" s="1221">
        <v>266330</v>
      </c>
      <c r="H12" s="1542">
        <v>8.9333917454586399E-3</v>
      </c>
      <c r="I12" s="1543">
        <v>0.107359687292119</v>
      </c>
      <c r="J12" s="1544">
        <v>2.06904942972649E-13</v>
      </c>
      <c r="K12" s="1543">
        <v>9.5893199999999998E-2</v>
      </c>
      <c r="L12" s="1217">
        <v>6.3300000000000004E-11</v>
      </c>
      <c r="M12" s="1545" t="s">
        <v>1021</v>
      </c>
      <c r="N12" s="1221" t="s">
        <v>1045</v>
      </c>
      <c r="O12" s="1221">
        <v>523</v>
      </c>
      <c r="P12" s="1542" t="s">
        <v>1046</v>
      </c>
      <c r="Q12" s="1543">
        <v>2.6346580121616999E-2</v>
      </c>
      <c r="R12" s="1217">
        <v>9.7102894509292794E-26</v>
      </c>
      <c r="S12" s="1546">
        <v>2.4391400000000001E-2</v>
      </c>
      <c r="T12" s="1217">
        <v>8.2900000000000004E-23</v>
      </c>
      <c r="U12" s="602" t="s">
        <v>1047</v>
      </c>
    </row>
    <row r="13" spans="1:24" s="1555" customFormat="1" ht="75" x14ac:dyDescent="0.25">
      <c r="A13" s="1394">
        <v>12</v>
      </c>
      <c r="B13" s="1394" t="s">
        <v>107</v>
      </c>
      <c r="C13" s="1561" t="s">
        <v>106</v>
      </c>
      <c r="D13" s="1562">
        <v>7</v>
      </c>
      <c r="E13" s="1562">
        <v>73012042</v>
      </c>
      <c r="F13" s="1219" t="str">
        <f>VLOOKUP(C13,cond,4,FALSE)</f>
        <v>A/G</v>
      </c>
      <c r="G13" s="1224">
        <v>319090</v>
      </c>
      <c r="H13" s="1563">
        <v>0.87970000000000004</v>
      </c>
      <c r="I13" s="1564">
        <v>0.02</v>
      </c>
      <c r="J13" s="1565">
        <v>1.7800000000000001E-9</v>
      </c>
      <c r="K13" s="1566">
        <v>3.1677799999999998E-3</v>
      </c>
      <c r="L13" s="1567">
        <v>0.61258699999999999</v>
      </c>
      <c r="M13" s="1568" t="s">
        <v>109</v>
      </c>
      <c r="N13" s="1219" t="s">
        <v>1048</v>
      </c>
      <c r="O13" s="1219">
        <v>155612</v>
      </c>
      <c r="P13" s="1556" t="s">
        <v>1049</v>
      </c>
      <c r="Q13" s="1564">
        <v>-2.59982582502402E-2</v>
      </c>
      <c r="R13" s="1569">
        <v>1.71134163905852E-15</v>
      </c>
      <c r="S13" s="1570">
        <v>-2.4986999999999999E-2</v>
      </c>
      <c r="T13" s="1569">
        <v>2.4048300000000001E-8</v>
      </c>
      <c r="U13" s="603" t="s">
        <v>1050</v>
      </c>
      <c r="V13" s="1554"/>
      <c r="W13" s="1554"/>
    </row>
    <row r="14" spans="1:24" s="565" customFormat="1" x14ac:dyDescent="0.25">
      <c r="A14" s="1394"/>
      <c r="B14" s="1394"/>
      <c r="C14" s="1216" t="s">
        <v>111</v>
      </c>
      <c r="D14" s="1571">
        <v>7</v>
      </c>
      <c r="E14" s="1571">
        <v>73020337</v>
      </c>
      <c r="F14" s="1221" t="str">
        <f>VLOOKUP(C14,cond,4,FALSE)</f>
        <v>G/C</v>
      </c>
      <c r="G14" s="1221">
        <v>322589</v>
      </c>
      <c r="H14" s="1572">
        <v>0.88119999999999998</v>
      </c>
      <c r="I14" s="1573">
        <v>2.1299999999999999E-2</v>
      </c>
      <c r="J14" s="1574">
        <v>1.9799999999999999E-10</v>
      </c>
      <c r="K14" s="899">
        <v>-2.6907900000000002E-3</v>
      </c>
      <c r="L14" s="584">
        <v>0.65176699999999999</v>
      </c>
      <c r="M14" s="1215" t="s">
        <v>109</v>
      </c>
      <c r="N14" s="1221" t="s">
        <v>1048</v>
      </c>
      <c r="O14" s="1221">
        <v>163907</v>
      </c>
      <c r="P14" s="1542" t="s">
        <v>1049</v>
      </c>
      <c r="Q14" s="1573">
        <v>-2.59982582502402E-2</v>
      </c>
      <c r="R14" s="1575">
        <v>1.71134163905852E-15</v>
      </c>
      <c r="S14" s="1576">
        <v>-2.36636E-2</v>
      </c>
      <c r="T14" s="1575">
        <v>1.06228E-7</v>
      </c>
      <c r="U14" s="602" t="s">
        <v>1035</v>
      </c>
    </row>
    <row r="15" spans="1:24" s="219" customFormat="1" x14ac:dyDescent="0.25">
      <c r="A15" s="1386">
        <v>15</v>
      </c>
      <c r="B15" s="1386" t="s">
        <v>940</v>
      </c>
      <c r="C15" s="1219" t="s">
        <v>143</v>
      </c>
      <c r="D15" s="1219">
        <v>12</v>
      </c>
      <c r="E15" s="1219">
        <v>124265687</v>
      </c>
      <c r="F15" s="1219" t="str">
        <f t="shared" si="0"/>
        <v>C/T</v>
      </c>
      <c r="G15" s="1224">
        <v>344369</v>
      </c>
      <c r="H15" s="1556">
        <v>0.63630315028065798</v>
      </c>
      <c r="I15" s="1557">
        <v>-1.9170843776442299E-2</v>
      </c>
      <c r="J15" s="1558">
        <v>7.8529736487360203E-14</v>
      </c>
      <c r="K15" s="1557">
        <v>-1.30616E-2</v>
      </c>
      <c r="L15" s="1218">
        <v>7.5600000000000005E-7</v>
      </c>
      <c r="M15" s="1559" t="s">
        <v>1022</v>
      </c>
      <c r="N15" s="1219" t="s">
        <v>1051</v>
      </c>
      <c r="O15" s="1219">
        <v>12804</v>
      </c>
      <c r="P15" s="1556" t="s">
        <v>1052</v>
      </c>
      <c r="Q15" s="1557">
        <v>-2.7249898768003999E-2</v>
      </c>
      <c r="R15" s="1218">
        <v>1.6716398125288399E-23</v>
      </c>
      <c r="S15" s="1560">
        <v>-2.2981399999999999E-2</v>
      </c>
      <c r="T15" s="1218">
        <v>3.1400000000000002E-16</v>
      </c>
      <c r="U15" s="603" t="s">
        <v>1035</v>
      </c>
      <c r="V15" s="565"/>
      <c r="W15" s="565"/>
    </row>
    <row r="16" spans="1:24" s="565" customFormat="1" x14ac:dyDescent="0.25">
      <c r="A16" s="1386"/>
      <c r="B16" s="1386"/>
      <c r="C16" s="1221" t="s">
        <v>146</v>
      </c>
      <c r="D16" s="1221">
        <v>12</v>
      </c>
      <c r="E16" s="1221">
        <v>124330311</v>
      </c>
      <c r="F16" s="1221" t="str">
        <f t="shared" si="0"/>
        <v>T/C</v>
      </c>
      <c r="G16" s="1221">
        <v>344369</v>
      </c>
      <c r="H16" s="1542">
        <v>0.105698935052121</v>
      </c>
      <c r="I16" s="1543">
        <v>-2.33222349006495E-2</v>
      </c>
      <c r="J16" s="1544">
        <v>6.4566656661446602E-9</v>
      </c>
      <c r="K16" s="1543">
        <v>-8.8064300000000005E-3</v>
      </c>
      <c r="L16" s="1217">
        <v>4.1465000000000002E-2</v>
      </c>
      <c r="M16" s="1545" t="s">
        <v>1022</v>
      </c>
      <c r="N16" s="1221" t="s">
        <v>1051</v>
      </c>
      <c r="O16" s="1221">
        <v>12804</v>
      </c>
      <c r="P16" s="1542" t="s">
        <v>1052</v>
      </c>
      <c r="Q16" s="1543">
        <v>-2.7249898768003999E-2</v>
      </c>
      <c r="R16" s="1217">
        <v>1.6716398125288399E-23</v>
      </c>
      <c r="S16" s="1546">
        <v>-2.45522E-2</v>
      </c>
      <c r="T16" s="1217">
        <v>4.5400000000000002E-17</v>
      </c>
      <c r="U16" s="602" t="s">
        <v>1035</v>
      </c>
    </row>
    <row r="17" spans="1:24" s="1555" customFormat="1" x14ac:dyDescent="0.25">
      <c r="A17" s="1386">
        <v>20</v>
      </c>
      <c r="B17" s="1222" t="s">
        <v>265</v>
      </c>
      <c r="C17" s="1219" t="s">
        <v>193</v>
      </c>
      <c r="D17" s="1219">
        <v>20</v>
      </c>
      <c r="E17" s="1219">
        <v>33971914</v>
      </c>
      <c r="F17" s="1219" t="str">
        <f t="shared" si="0"/>
        <v>C/T</v>
      </c>
      <c r="G17" s="1224">
        <v>319090</v>
      </c>
      <c r="H17" s="1556">
        <v>0.58630123594283701</v>
      </c>
      <c r="I17" s="1557">
        <v>1.9788292508702201E-2</v>
      </c>
      <c r="J17" s="1558">
        <v>2.51040860264379E-13</v>
      </c>
      <c r="K17" s="1557">
        <v>-6.6735900000000001E-3</v>
      </c>
      <c r="L17" s="1218">
        <v>0.28426099999999999</v>
      </c>
      <c r="M17" s="1559" t="s">
        <v>195</v>
      </c>
      <c r="N17" s="1219" t="s">
        <v>1053</v>
      </c>
      <c r="O17" s="1219">
        <v>1794</v>
      </c>
      <c r="P17" s="1556" t="s">
        <v>1054</v>
      </c>
      <c r="Q17" s="1557">
        <v>-2.2497703204999699E-2</v>
      </c>
      <c r="R17" s="1218">
        <v>8.7645595549528496E-18</v>
      </c>
      <c r="S17" s="1560">
        <v>-1.9704800000000001E-2</v>
      </c>
      <c r="T17" s="1218">
        <v>5.5800000000000001E-5</v>
      </c>
      <c r="U17" s="603" t="s">
        <v>1035</v>
      </c>
      <c r="V17" s="1554"/>
      <c r="W17" s="1554"/>
    </row>
    <row r="18" spans="1:24" s="1554" customFormat="1" x14ac:dyDescent="0.25">
      <c r="A18" s="1386"/>
      <c r="B18" s="1213" t="s">
        <v>959</v>
      </c>
      <c r="C18" s="1221" t="s">
        <v>197</v>
      </c>
      <c r="D18" s="1221">
        <v>20</v>
      </c>
      <c r="E18" s="1221">
        <v>34022387</v>
      </c>
      <c r="F18" s="1221" t="str">
        <f t="shared" si="0"/>
        <v>C/A</v>
      </c>
      <c r="G18" s="1221">
        <v>213628</v>
      </c>
      <c r="H18" s="1542">
        <v>0.36767379668863598</v>
      </c>
      <c r="I18" s="1543">
        <v>-1.9154963269203702E-2</v>
      </c>
      <c r="J18" s="1544">
        <v>8.19382962786734E-9</v>
      </c>
      <c r="K18" s="1543">
        <v>1.27939E-2</v>
      </c>
      <c r="L18" s="1217">
        <v>5.6824699999999999E-2</v>
      </c>
      <c r="M18" s="1545" t="s">
        <v>195</v>
      </c>
      <c r="N18" s="1221" t="s">
        <v>1055</v>
      </c>
      <c r="O18" s="1221">
        <v>1794</v>
      </c>
      <c r="P18" s="1542" t="s">
        <v>1054</v>
      </c>
      <c r="Q18" s="1543">
        <v>-2.2497703204999699E-2</v>
      </c>
      <c r="R18" s="1217">
        <v>8.7645595549528496E-18</v>
      </c>
      <c r="S18" s="1546">
        <v>-2.0363900000000001E-2</v>
      </c>
      <c r="T18" s="1217">
        <v>4.1899999999999998E-9</v>
      </c>
      <c r="U18" s="602" t="s">
        <v>1035</v>
      </c>
    </row>
    <row r="19" spans="1:24" s="219" customFormat="1" x14ac:dyDescent="0.25">
      <c r="A19" s="753"/>
      <c r="B19" s="1214"/>
      <c r="C19" s="1547"/>
      <c r="D19" s="1547"/>
      <c r="E19" s="1547"/>
      <c r="F19" s="1547"/>
      <c r="G19" s="1547"/>
      <c r="H19" s="1548"/>
      <c r="I19" s="1549"/>
      <c r="J19" s="1550"/>
      <c r="K19" s="1549"/>
      <c r="L19" s="1551"/>
      <c r="M19" s="1552"/>
      <c r="N19" s="1547"/>
      <c r="O19" s="1547"/>
      <c r="P19" s="1548"/>
      <c r="Q19" s="1549"/>
      <c r="R19" s="1551"/>
      <c r="S19" s="1553"/>
      <c r="T19" s="1551"/>
      <c r="U19" s="752"/>
      <c r="V19" s="565"/>
      <c r="W19" s="565"/>
    </row>
    <row r="20" spans="1:24" s="219" customFormat="1" x14ac:dyDescent="0.25">
      <c r="A20" s="757" t="s">
        <v>254</v>
      </c>
      <c r="B20" s="1222"/>
      <c r="C20" s="1219"/>
      <c r="D20" s="1219"/>
      <c r="E20" s="1219"/>
      <c r="F20" s="1219"/>
      <c r="G20" s="1224"/>
      <c r="H20" s="1556"/>
      <c r="I20" s="1557"/>
      <c r="J20" s="1558"/>
      <c r="K20" s="1557"/>
      <c r="L20" s="1218"/>
      <c r="M20" s="1559"/>
      <c r="N20" s="1219"/>
      <c r="O20" s="1219"/>
      <c r="P20" s="1556"/>
      <c r="Q20" s="1557"/>
      <c r="R20" s="1218"/>
      <c r="S20" s="1560"/>
      <c r="T20" s="1218"/>
      <c r="U20" s="603"/>
      <c r="V20" s="565"/>
      <c r="W20" s="565"/>
    </row>
    <row r="21" spans="1:24" s="1554" customFormat="1" ht="60" x14ac:dyDescent="0.25">
      <c r="A21" s="1213">
        <v>3</v>
      </c>
      <c r="B21" s="1213" t="s">
        <v>38</v>
      </c>
      <c r="C21" s="1221" t="s">
        <v>37</v>
      </c>
      <c r="D21" s="1221">
        <v>2</v>
      </c>
      <c r="E21" s="1221">
        <v>165551201</v>
      </c>
      <c r="F21" s="1221" t="str">
        <f t="shared" ref="F21:F27" si="1">VLOOKUP(C21,cond,4,FALSE)</f>
        <v>C/T</v>
      </c>
      <c r="G21" s="1221">
        <v>146624</v>
      </c>
      <c r="H21" s="1542">
        <v>0.122303629899948</v>
      </c>
      <c r="I21" s="1543">
        <v>-5.9961572067746403E-2</v>
      </c>
      <c r="J21" s="1544">
        <v>2.0222090346022799E-24</v>
      </c>
      <c r="K21" s="1543">
        <v>-3.5025500000000001E-2</v>
      </c>
      <c r="L21" s="1217">
        <v>4.4585300000000002E-8</v>
      </c>
      <c r="M21" s="1545" t="s">
        <v>1012</v>
      </c>
      <c r="N21" s="1221" t="s">
        <v>1036</v>
      </c>
      <c r="O21" s="1221">
        <v>15785</v>
      </c>
      <c r="P21" s="1542" t="s">
        <v>1037</v>
      </c>
      <c r="Q21" s="1543">
        <v>-4.928650545109E-2</v>
      </c>
      <c r="R21" s="1217">
        <v>8.5948509000600701E-38</v>
      </c>
      <c r="S21" s="1546">
        <v>-3.8849700000000001E-2</v>
      </c>
      <c r="T21" s="1217">
        <v>9.4455700000000001E-21</v>
      </c>
      <c r="U21" s="602" t="s">
        <v>1056</v>
      </c>
    </row>
    <row r="22" spans="1:24" s="169" customFormat="1" x14ac:dyDescent="0.25">
      <c r="A22" s="1386">
        <v>7</v>
      </c>
      <c r="B22" s="1222" t="s">
        <v>918</v>
      </c>
      <c r="C22" s="1219" t="s">
        <v>65</v>
      </c>
      <c r="D22" s="1219">
        <v>4</v>
      </c>
      <c r="E22" s="1219">
        <v>89625427</v>
      </c>
      <c r="F22" s="1219" t="str">
        <f t="shared" si="1"/>
        <v>C/G</v>
      </c>
      <c r="G22" s="1224">
        <v>153957</v>
      </c>
      <c r="H22" s="1556">
        <v>0.16137626344109099</v>
      </c>
      <c r="I22" s="1557">
        <v>-3.3873402723533397E-2</v>
      </c>
      <c r="J22" s="1558">
        <v>1.8936378580154901E-11</v>
      </c>
      <c r="K22" s="1557">
        <v>-2.1062999999999998E-2</v>
      </c>
      <c r="L22" s="1218">
        <v>7.5701800000000001E-5</v>
      </c>
      <c r="M22" s="1559" t="s">
        <v>67</v>
      </c>
      <c r="N22" s="1219" t="s">
        <v>1040</v>
      </c>
      <c r="O22" s="1219">
        <v>27007</v>
      </c>
      <c r="P22" s="1556" t="s">
        <v>1041</v>
      </c>
      <c r="Q22" s="1557">
        <v>3.3330075811527998E-2</v>
      </c>
      <c r="R22" s="1218">
        <v>3.6379645764100002E-22</v>
      </c>
      <c r="S22" s="1560">
        <v>2.8653499999999998E-2</v>
      </c>
      <c r="T22" s="1218">
        <v>6.5944899999999998E-16</v>
      </c>
      <c r="U22" s="603" t="s">
        <v>1035</v>
      </c>
      <c r="V22" s="188"/>
      <c r="W22" s="188"/>
    </row>
    <row r="23" spans="1:24" s="565" customFormat="1" x14ac:dyDescent="0.25">
      <c r="A23" s="1386"/>
      <c r="B23" s="1213" t="s">
        <v>919</v>
      </c>
      <c r="C23" s="1221" t="s">
        <v>69</v>
      </c>
      <c r="D23" s="1221">
        <v>4</v>
      </c>
      <c r="E23" s="1221">
        <v>89668859</v>
      </c>
      <c r="F23" s="1221" t="str">
        <f t="shared" si="1"/>
        <v>T/C</v>
      </c>
      <c r="G23" s="1221">
        <v>180131</v>
      </c>
      <c r="H23" s="1542">
        <v>0.18864651527055301</v>
      </c>
      <c r="I23" s="1543">
        <v>-2.4585259760279699E-2</v>
      </c>
      <c r="J23" s="1544">
        <v>3.5616328422515802E-8</v>
      </c>
      <c r="K23" s="1543">
        <v>-1.4650099999999999E-2</v>
      </c>
      <c r="L23" s="1217">
        <v>1.3198000000000001E-3</v>
      </c>
      <c r="M23" s="1545" t="s">
        <v>67</v>
      </c>
      <c r="N23" s="1221" t="s">
        <v>1040</v>
      </c>
      <c r="O23" s="1221">
        <v>27007</v>
      </c>
      <c r="P23" s="1542" t="s">
        <v>1041</v>
      </c>
      <c r="Q23" s="1543">
        <v>3.3330075811527998E-2</v>
      </c>
      <c r="R23" s="1217">
        <v>3.6379645764100002E-22</v>
      </c>
      <c r="S23" s="1546">
        <v>2.9845400000000001E-2</v>
      </c>
      <c r="T23" s="1217">
        <v>1.9401E-17</v>
      </c>
      <c r="U23" s="602" t="s">
        <v>1035</v>
      </c>
    </row>
    <row r="24" spans="1:24" s="219" customFormat="1" x14ac:dyDescent="0.25">
      <c r="A24" s="1386">
        <v>11</v>
      </c>
      <c r="B24" s="1222" t="s">
        <v>923</v>
      </c>
      <c r="C24" s="1219" t="s">
        <v>95</v>
      </c>
      <c r="D24" s="1219">
        <v>6</v>
      </c>
      <c r="E24" s="1219">
        <v>127476516</v>
      </c>
      <c r="F24" s="1219" t="str">
        <f t="shared" si="1"/>
        <v>G/A</v>
      </c>
      <c r="G24" s="1224">
        <v>180131</v>
      </c>
      <c r="H24" s="1556">
        <v>0.54205731972841997</v>
      </c>
      <c r="I24" s="1557">
        <v>3.4573140105777299E-2</v>
      </c>
      <c r="J24" s="1558">
        <v>3.8346871783990102E-23</v>
      </c>
      <c r="K24" s="1564">
        <v>2.12941E-2</v>
      </c>
      <c r="L24" s="1569">
        <v>1.40825E-3</v>
      </c>
      <c r="M24" s="1559" t="s">
        <v>1021</v>
      </c>
      <c r="N24" s="1219" t="s">
        <v>1045</v>
      </c>
      <c r="O24" s="1219">
        <v>523</v>
      </c>
      <c r="P24" s="1556" t="s">
        <v>1046</v>
      </c>
      <c r="Q24" s="1557">
        <v>3.3509810195361402E-2</v>
      </c>
      <c r="R24" s="1218">
        <v>1.7443023522892101E-21</v>
      </c>
      <c r="S24" s="1560">
        <v>1.538E-2</v>
      </c>
      <c r="T24" s="1218">
        <v>2.622E-2</v>
      </c>
      <c r="U24" s="603" t="s">
        <v>1035</v>
      </c>
      <c r="V24" s="565"/>
      <c r="W24" s="565"/>
    </row>
    <row r="25" spans="1:24" s="1554" customFormat="1" ht="60" x14ac:dyDescent="0.25">
      <c r="A25" s="1386"/>
      <c r="B25" s="1213" t="s">
        <v>924</v>
      </c>
      <c r="C25" s="1221" t="s">
        <v>99</v>
      </c>
      <c r="D25" s="1221">
        <v>6</v>
      </c>
      <c r="E25" s="1221">
        <v>127767954</v>
      </c>
      <c r="F25" s="1221" t="str">
        <f t="shared" si="1"/>
        <v>G/A</v>
      </c>
      <c r="G25" s="1221">
        <v>139056</v>
      </c>
      <c r="H25" s="1542">
        <v>9.0933775309227898E-3</v>
      </c>
      <c r="I25" s="1543">
        <v>0.14962275088037</v>
      </c>
      <c r="J25" s="1544">
        <v>1.1502933297979799E-13</v>
      </c>
      <c r="K25" s="1573">
        <v>0.13597600000000001</v>
      </c>
      <c r="L25" s="1575">
        <v>1.8341399999999999E-11</v>
      </c>
      <c r="M25" s="1545" t="s">
        <v>1021</v>
      </c>
      <c r="N25" s="1221" t="s">
        <v>1045</v>
      </c>
      <c r="O25" s="1221">
        <v>523</v>
      </c>
      <c r="P25" s="1542" t="s">
        <v>1046</v>
      </c>
      <c r="Q25" s="1543">
        <v>3.3509810195361402E-2</v>
      </c>
      <c r="R25" s="1217">
        <v>1.7443023522892101E-21</v>
      </c>
      <c r="S25" s="1546">
        <v>3.0410300000000001E-2</v>
      </c>
      <c r="T25" s="1217">
        <v>1.28995E-18</v>
      </c>
      <c r="U25" s="602" t="s">
        <v>1047</v>
      </c>
    </row>
    <row r="26" spans="1:24" s="1555" customFormat="1" ht="75" x14ac:dyDescent="0.25">
      <c r="A26" s="1386">
        <v>15</v>
      </c>
      <c r="B26" s="1386" t="s">
        <v>940</v>
      </c>
      <c r="C26" s="1219" t="s">
        <v>143</v>
      </c>
      <c r="D26" s="1219">
        <v>12</v>
      </c>
      <c r="E26" s="1219">
        <v>124265687</v>
      </c>
      <c r="F26" s="1219" t="str">
        <f t="shared" si="1"/>
        <v>C/T</v>
      </c>
      <c r="G26" s="1224">
        <v>180131</v>
      </c>
      <c r="H26" s="1556">
        <v>0.63239715568669497</v>
      </c>
      <c r="I26" s="1557">
        <v>-2.7629884605145101E-2</v>
      </c>
      <c r="J26" s="1558">
        <v>1.0008360996311801E-14</v>
      </c>
      <c r="K26" s="1557">
        <v>-1.83316E-2</v>
      </c>
      <c r="L26" s="1218">
        <v>5.8601099999999997E-7</v>
      </c>
      <c r="M26" s="1559" t="s">
        <v>1022</v>
      </c>
      <c r="N26" s="1219" t="s">
        <v>1051</v>
      </c>
      <c r="O26" s="1219">
        <v>12804</v>
      </c>
      <c r="P26" s="1556" t="s">
        <v>1052</v>
      </c>
      <c r="Q26" s="1557">
        <v>-4.0290008477731003E-2</v>
      </c>
      <c r="R26" s="1218">
        <v>1.2064378211455499E-26</v>
      </c>
      <c r="S26" s="1560">
        <v>-3.4143E-2</v>
      </c>
      <c r="T26" s="1218">
        <v>1.39401E-18</v>
      </c>
      <c r="U26" s="603" t="s">
        <v>1057</v>
      </c>
      <c r="V26" s="1554"/>
      <c r="W26" s="1554"/>
    </row>
    <row r="27" spans="1:24" s="565" customFormat="1" x14ac:dyDescent="0.25">
      <c r="A27" s="1386"/>
      <c r="B27" s="1386"/>
      <c r="C27" s="1221" t="s">
        <v>146</v>
      </c>
      <c r="D27" s="1221">
        <v>12</v>
      </c>
      <c r="E27" s="1221">
        <v>124330311</v>
      </c>
      <c r="F27" s="1221" t="str">
        <f t="shared" si="1"/>
        <v>T/C</v>
      </c>
      <c r="G27" s="1221">
        <v>180131</v>
      </c>
      <c r="H27" s="1542">
        <v>0.108406354009082</v>
      </c>
      <c r="I27" s="1543">
        <v>-4.0619392945088401E-2</v>
      </c>
      <c r="J27" s="1544">
        <v>2.2502639291088799E-13</v>
      </c>
      <c r="K27" s="1543">
        <v>-1.9995099999999998E-2</v>
      </c>
      <c r="L27" s="1217">
        <v>7.7298799999999995E-4</v>
      </c>
      <c r="M27" s="1545" t="s">
        <v>1022</v>
      </c>
      <c r="N27" s="1221" t="s">
        <v>1051</v>
      </c>
      <c r="O27" s="1221">
        <v>12804</v>
      </c>
      <c r="P27" s="1542" t="s">
        <v>1052</v>
      </c>
      <c r="Q27" s="1543">
        <v>-4.0290008477731003E-2</v>
      </c>
      <c r="R27" s="1217">
        <v>1.2064378211455499E-26</v>
      </c>
      <c r="S27" s="1546">
        <v>-3.4107499999999999E-2</v>
      </c>
      <c r="T27" s="1217">
        <v>2.7712699999999999E-17</v>
      </c>
      <c r="U27" s="602" t="s">
        <v>1035</v>
      </c>
    </row>
    <row r="28" spans="1:24" s="565" customFormat="1" x14ac:dyDescent="0.25">
      <c r="A28" s="753"/>
      <c r="B28" s="1214"/>
      <c r="C28" s="1547"/>
      <c r="D28" s="1547"/>
      <c r="E28" s="1547"/>
      <c r="F28" s="1547"/>
      <c r="G28" s="1547"/>
      <c r="H28" s="1548"/>
      <c r="I28" s="1549"/>
      <c r="J28" s="1550"/>
      <c r="K28" s="1549"/>
      <c r="L28" s="1551"/>
      <c r="M28" s="1552"/>
      <c r="N28" s="1547"/>
      <c r="O28" s="1547"/>
      <c r="P28" s="1548"/>
      <c r="Q28" s="1549"/>
      <c r="R28" s="1551"/>
      <c r="S28" s="1553"/>
      <c r="T28" s="1551"/>
      <c r="U28" s="752"/>
      <c r="X28" s="219"/>
    </row>
    <row r="29" spans="1:24" s="565" customFormat="1" x14ac:dyDescent="0.25">
      <c r="A29" s="757" t="s">
        <v>244</v>
      </c>
      <c r="B29" s="1222"/>
      <c r="C29" s="1219"/>
      <c r="D29" s="1219"/>
      <c r="E29" s="1219"/>
      <c r="F29" s="1219"/>
      <c r="G29" s="1577"/>
      <c r="H29" s="1556"/>
      <c r="I29" s="1557"/>
      <c r="J29" s="1558"/>
      <c r="K29" s="1557"/>
      <c r="L29" s="1218"/>
      <c r="M29" s="1559"/>
      <c r="N29" s="1219"/>
      <c r="O29" s="1219"/>
      <c r="P29" s="1556"/>
      <c r="Q29" s="1557"/>
      <c r="R29" s="1218"/>
      <c r="S29" s="1560"/>
      <c r="T29" s="1218"/>
      <c r="U29" s="603"/>
      <c r="X29" s="219"/>
    </row>
    <row r="30" spans="1:24" s="565" customFormat="1" x14ac:dyDescent="0.25">
      <c r="A30" s="1393">
        <v>20</v>
      </c>
      <c r="B30" s="1223" t="s">
        <v>265</v>
      </c>
      <c r="C30" s="1220" t="s">
        <v>193</v>
      </c>
      <c r="D30" s="1220">
        <v>20</v>
      </c>
      <c r="E30" s="1220">
        <v>33971914</v>
      </c>
      <c r="F30" s="1220" t="str">
        <f>VLOOKUP(C30,cond,4,FALSE)</f>
        <v>C/T</v>
      </c>
      <c r="G30" s="1220">
        <v>164238</v>
      </c>
      <c r="H30" s="1578">
        <v>0.57852779520573805</v>
      </c>
      <c r="I30" s="1579">
        <v>2.4196760506946E-2</v>
      </c>
      <c r="J30" s="1101">
        <v>2.0238857464176099E-11</v>
      </c>
      <c r="K30" s="1579">
        <v>-1.1564899999999999E-2</v>
      </c>
      <c r="L30" s="1580">
        <v>0.140066</v>
      </c>
      <c r="M30" s="190" t="s">
        <v>195</v>
      </c>
      <c r="N30" s="1220" t="s">
        <v>1053</v>
      </c>
      <c r="O30" s="1220">
        <v>1794</v>
      </c>
      <c r="P30" s="1578" t="s">
        <v>1054</v>
      </c>
      <c r="Q30" s="1579">
        <v>-2.9864205863396099E-2</v>
      </c>
      <c r="R30" s="1580">
        <v>1.03072075461469E-16</v>
      </c>
      <c r="S30" s="1581">
        <v>-3.8176700000000001E-2</v>
      </c>
      <c r="T30" s="1580">
        <v>1.79385E-6</v>
      </c>
      <c r="U30" s="601" t="s">
        <v>1035</v>
      </c>
    </row>
    <row r="31" spans="1:24" s="565" customFormat="1" x14ac:dyDescent="0.25">
      <c r="A31" s="1386"/>
      <c r="B31" s="1213" t="s">
        <v>959</v>
      </c>
      <c r="C31" s="1221" t="s">
        <v>197</v>
      </c>
      <c r="D31" s="1221">
        <v>20</v>
      </c>
      <c r="E31" s="1221">
        <v>34022387</v>
      </c>
      <c r="F31" s="1221" t="str">
        <f>VLOOKUP(C31,cond,4,FALSE)</f>
        <v>C/A</v>
      </c>
      <c r="G31" s="1221">
        <v>105018</v>
      </c>
      <c r="H31" s="1542">
        <v>0.37103360607705299</v>
      </c>
      <c r="I31" s="1543">
        <v>-2.5136514630649202E-2</v>
      </c>
      <c r="J31" s="1544">
        <v>3.1716858619457899E-8</v>
      </c>
      <c r="K31" s="1543">
        <v>7.9282500000000004E-4</v>
      </c>
      <c r="L31" s="1217">
        <v>0.92683700000000002</v>
      </c>
      <c r="M31" s="1545" t="s">
        <v>195</v>
      </c>
      <c r="N31" s="1221" t="s">
        <v>1053</v>
      </c>
      <c r="O31" s="1221">
        <v>1794</v>
      </c>
      <c r="P31" s="1542" t="s">
        <v>1054</v>
      </c>
      <c r="Q31" s="1543">
        <v>-2.9864205863396099E-2</v>
      </c>
      <c r="R31" s="1217">
        <v>1.03072075461469E-16</v>
      </c>
      <c r="S31" s="1546">
        <v>-3.1009399999999999E-2</v>
      </c>
      <c r="T31" s="1217">
        <v>4.09599E-10</v>
      </c>
      <c r="U31" s="602" t="s">
        <v>1035</v>
      </c>
    </row>
    <row r="32" spans="1:24" s="11" customFormat="1" x14ac:dyDescent="0.25">
      <c r="A32" s="169" t="s">
        <v>226</v>
      </c>
      <c r="B32" s="49"/>
      <c r="C32" s="1"/>
      <c r="D32" s="1"/>
      <c r="E32" s="1"/>
      <c r="F32" s="1"/>
      <c r="G32" s="1"/>
      <c r="H32" s="568"/>
      <c r="I32" s="4"/>
      <c r="J32" s="16"/>
      <c r="K32" s="29"/>
      <c r="L32" s="16"/>
      <c r="M32" s="177"/>
      <c r="N32" s="177"/>
      <c r="O32" s="177"/>
      <c r="P32" s="569"/>
      <c r="Q32" s="29"/>
      <c r="R32" s="16"/>
      <c r="S32" s="833"/>
      <c r="T32" s="16"/>
      <c r="U32" s="576"/>
      <c r="X32"/>
    </row>
    <row r="33" spans="1:24" s="11" customFormat="1" x14ac:dyDescent="0.25">
      <c r="A33" s="219" t="s">
        <v>5559</v>
      </c>
      <c r="B33" s="49"/>
      <c r="C33" s="1"/>
      <c r="D33" s="1"/>
      <c r="E33" s="1"/>
      <c r="F33" s="1"/>
      <c r="G33" s="1"/>
      <c r="H33" s="568"/>
      <c r="I33" s="4"/>
      <c r="J33" s="16"/>
      <c r="K33" s="29"/>
      <c r="L33" s="16"/>
      <c r="M33" s="177"/>
      <c r="N33" s="177"/>
      <c r="O33" s="177"/>
      <c r="P33" s="569"/>
      <c r="Q33" s="29"/>
      <c r="R33" s="16"/>
      <c r="S33" s="833"/>
      <c r="T33" s="16"/>
      <c r="U33" s="576"/>
      <c r="X33"/>
    </row>
    <row r="34" spans="1:24" s="11" customFormat="1" x14ac:dyDescent="0.25">
      <c r="A34" s="169" t="s">
        <v>5573</v>
      </c>
      <c r="B34" s="49"/>
      <c r="C34" s="1"/>
      <c r="D34" s="1"/>
      <c r="E34" s="1"/>
      <c r="F34" s="1"/>
      <c r="G34" s="1"/>
      <c r="H34" s="568"/>
      <c r="I34" s="4"/>
      <c r="J34" s="16"/>
      <c r="K34" s="29"/>
      <c r="L34" s="16"/>
      <c r="M34" s="177"/>
      <c r="N34" s="177"/>
      <c r="O34" s="177"/>
      <c r="P34" s="569"/>
      <c r="Q34" s="29"/>
      <c r="R34" s="16"/>
      <c r="S34" s="833"/>
      <c r="T34" s="16"/>
      <c r="U34" s="576"/>
      <c r="X34"/>
    </row>
    <row r="35" spans="1:24" s="11" customFormat="1" x14ac:dyDescent="0.25">
      <c r="A35" s="289" t="s">
        <v>1025</v>
      </c>
      <c r="B35" s="49"/>
      <c r="C35" s="1"/>
      <c r="D35" s="1"/>
      <c r="E35" s="1"/>
      <c r="F35" s="1"/>
      <c r="G35" s="1"/>
      <c r="H35" s="568"/>
      <c r="I35" s="4"/>
      <c r="J35" s="16"/>
      <c r="K35" s="29"/>
      <c r="L35" s="16"/>
      <c r="M35" s="177"/>
      <c r="N35" s="177"/>
      <c r="O35" s="177"/>
      <c r="P35" s="569"/>
      <c r="Q35" s="29"/>
      <c r="R35" s="16"/>
      <c r="S35" s="833"/>
      <c r="T35" s="16"/>
      <c r="U35" s="576"/>
      <c r="X35"/>
    </row>
    <row r="36" spans="1:24" s="11" customFormat="1" x14ac:dyDescent="0.25">
      <c r="A36" s="589" t="s">
        <v>232</v>
      </c>
      <c r="B36" s="49"/>
      <c r="C36" s="1"/>
      <c r="D36" s="1"/>
      <c r="E36" s="1"/>
      <c r="F36" s="1"/>
      <c r="G36" s="1"/>
      <c r="H36" s="568"/>
      <c r="I36" s="4"/>
      <c r="J36" s="16"/>
      <c r="K36" s="29"/>
      <c r="L36" s="16"/>
      <c r="M36" s="177"/>
      <c r="N36" s="177"/>
      <c r="O36" s="177"/>
      <c r="P36" s="569"/>
      <c r="Q36" s="29"/>
      <c r="R36" s="16"/>
      <c r="S36" s="833"/>
      <c r="T36" s="16"/>
      <c r="U36" s="576"/>
      <c r="X36"/>
    </row>
    <row r="37" spans="1:24" s="11" customFormat="1" x14ac:dyDescent="0.25">
      <c r="A37" s="219"/>
      <c r="B37" s="49"/>
      <c r="C37" s="1"/>
      <c r="D37" s="1"/>
      <c r="E37" s="1"/>
      <c r="F37" s="1"/>
      <c r="G37" s="1"/>
      <c r="H37" s="568"/>
      <c r="I37" s="4"/>
      <c r="J37" s="16"/>
      <c r="K37" s="29"/>
      <c r="L37" s="16"/>
      <c r="M37" s="177"/>
      <c r="N37" s="177"/>
      <c r="O37" s="177"/>
      <c r="P37" s="569"/>
      <c r="Q37" s="29"/>
      <c r="R37" s="16"/>
      <c r="S37" s="833"/>
      <c r="T37" s="16"/>
      <c r="U37" s="576"/>
      <c r="X37"/>
    </row>
    <row r="38" spans="1:24" s="11" customFormat="1" x14ac:dyDescent="0.25">
      <c r="A38" s="219"/>
      <c r="B38" s="49"/>
      <c r="C38" s="1"/>
      <c r="D38" s="1"/>
      <c r="E38" s="1"/>
      <c r="F38" s="1"/>
      <c r="G38" s="1"/>
      <c r="H38" s="568"/>
      <c r="I38" s="4"/>
      <c r="J38" s="16"/>
      <c r="K38" s="29"/>
      <c r="L38" s="16"/>
      <c r="M38" s="177"/>
      <c r="N38" s="177"/>
      <c r="O38" s="177"/>
      <c r="P38" s="569"/>
      <c r="Q38" s="29"/>
      <c r="R38" s="16"/>
      <c r="S38" s="833"/>
      <c r="T38" s="16"/>
      <c r="U38" s="576"/>
      <c r="X38"/>
    </row>
    <row r="39" spans="1:24" s="11" customFormat="1" x14ac:dyDescent="0.25">
      <c r="A39" s="219"/>
      <c r="B39" s="49"/>
      <c r="C39" s="1"/>
      <c r="D39" s="1"/>
      <c r="E39" s="1"/>
      <c r="F39" s="1"/>
      <c r="G39" s="1"/>
      <c r="H39" s="568"/>
      <c r="I39" s="4"/>
      <c r="J39" s="16"/>
      <c r="K39" s="29"/>
      <c r="L39" s="16"/>
      <c r="M39" s="177"/>
      <c r="N39" s="177"/>
      <c r="O39" s="177"/>
      <c r="P39" s="569"/>
      <c r="Q39" s="29"/>
      <c r="R39" s="16"/>
      <c r="S39" s="833"/>
      <c r="T39" s="16"/>
      <c r="U39" s="576"/>
      <c r="X39"/>
    </row>
    <row r="40" spans="1:24" s="11" customFormat="1" x14ac:dyDescent="0.25">
      <c r="A40" s="219"/>
      <c r="B40" s="49"/>
      <c r="C40" s="1"/>
      <c r="D40" s="1"/>
      <c r="E40" s="1"/>
      <c r="F40" s="1"/>
      <c r="G40" s="1"/>
      <c r="H40" s="568"/>
      <c r="I40" s="4"/>
      <c r="J40" s="16"/>
      <c r="K40" s="29"/>
      <c r="L40" s="16"/>
      <c r="M40" s="177"/>
      <c r="N40" s="177"/>
      <c r="O40" s="177"/>
      <c r="P40" s="569"/>
      <c r="Q40" s="29"/>
      <c r="R40" s="16"/>
      <c r="S40" s="833"/>
      <c r="T40" s="16"/>
      <c r="U40" s="576"/>
      <c r="X40"/>
    </row>
    <row r="41" spans="1:24" s="11" customFormat="1" x14ac:dyDescent="0.25">
      <c r="A41" s="219"/>
      <c r="B41" s="49"/>
      <c r="C41" s="1"/>
      <c r="D41" s="1"/>
      <c r="E41" s="1"/>
      <c r="F41" s="1"/>
      <c r="G41" s="1"/>
      <c r="H41" s="568"/>
      <c r="I41" s="4"/>
      <c r="J41" s="16"/>
      <c r="K41" s="29"/>
      <c r="L41" s="16"/>
      <c r="M41" s="177"/>
      <c r="N41" s="177"/>
      <c r="O41" s="177"/>
      <c r="P41" s="569"/>
      <c r="Q41" s="29"/>
      <c r="R41" s="16"/>
      <c r="S41" s="833"/>
      <c r="T41" s="16"/>
      <c r="U41" s="576"/>
      <c r="X41"/>
    </row>
    <row r="42" spans="1:24" s="11" customFormat="1" x14ac:dyDescent="0.25">
      <c r="A42" s="219"/>
      <c r="B42" s="49"/>
      <c r="C42" s="1"/>
      <c r="D42" s="1"/>
      <c r="E42" s="1"/>
      <c r="F42" s="1"/>
      <c r="G42" s="1"/>
      <c r="H42" s="568"/>
      <c r="I42" s="4"/>
      <c r="J42" s="16"/>
      <c r="K42" s="29"/>
      <c r="L42" s="16"/>
      <c r="M42" s="177"/>
      <c r="N42" s="177"/>
      <c r="O42" s="177"/>
      <c r="P42" s="569"/>
      <c r="Q42" s="29"/>
      <c r="R42" s="16"/>
      <c r="S42" s="833"/>
      <c r="T42" s="16"/>
      <c r="U42" s="576"/>
      <c r="X42"/>
    </row>
    <row r="43" spans="1:24" s="11" customFormat="1" x14ac:dyDescent="0.25">
      <c r="A43" s="219"/>
      <c r="B43" s="49"/>
      <c r="C43" s="1"/>
      <c r="D43" s="1"/>
      <c r="E43" s="1"/>
      <c r="F43" s="1"/>
      <c r="G43" s="1"/>
      <c r="H43" s="568"/>
      <c r="I43" s="4"/>
      <c r="J43" s="16"/>
      <c r="K43" s="29"/>
      <c r="L43" s="16"/>
      <c r="M43" s="177"/>
      <c r="N43" s="177"/>
      <c r="O43" s="177"/>
      <c r="P43" s="569"/>
      <c r="Q43" s="29"/>
      <c r="R43" s="16"/>
      <c r="S43" s="833"/>
      <c r="T43" s="16"/>
      <c r="U43" s="576"/>
      <c r="X43"/>
    </row>
    <row r="44" spans="1:24" s="11" customFormat="1" x14ac:dyDescent="0.25">
      <c r="A44" s="219"/>
      <c r="B44" s="49"/>
      <c r="C44" s="1"/>
      <c r="D44" s="1"/>
      <c r="E44" s="1"/>
      <c r="F44" s="1"/>
      <c r="G44" s="1"/>
      <c r="H44" s="568"/>
      <c r="I44" s="4"/>
      <c r="J44" s="16"/>
      <c r="K44" s="29"/>
      <c r="L44" s="16"/>
      <c r="M44" s="177"/>
      <c r="N44" s="177"/>
      <c r="O44" s="177"/>
      <c r="P44" s="569"/>
      <c r="Q44" s="29"/>
      <c r="R44" s="16"/>
      <c r="S44" s="833"/>
      <c r="T44" s="16"/>
      <c r="U44" s="576"/>
      <c r="X44"/>
    </row>
    <row r="45" spans="1:24" s="11" customFormat="1" x14ac:dyDescent="0.25">
      <c r="A45" s="219"/>
      <c r="B45" s="49"/>
      <c r="C45" s="1"/>
      <c r="D45" s="1"/>
      <c r="E45" s="1"/>
      <c r="F45" s="1"/>
      <c r="G45" s="1"/>
      <c r="H45" s="568"/>
      <c r="I45" s="4"/>
      <c r="J45" s="16"/>
      <c r="K45" s="29"/>
      <c r="L45" s="16"/>
      <c r="M45" s="177"/>
      <c r="N45" s="177"/>
      <c r="O45" s="177"/>
      <c r="P45" s="569"/>
      <c r="Q45" s="29"/>
      <c r="R45" s="16"/>
      <c r="S45" s="833"/>
      <c r="T45" s="16"/>
      <c r="U45" s="576"/>
      <c r="X45"/>
    </row>
    <row r="46" spans="1:24" s="11" customFormat="1" x14ac:dyDescent="0.25">
      <c r="A46" s="219"/>
      <c r="B46" s="49"/>
      <c r="C46" s="1"/>
      <c r="D46" s="1"/>
      <c r="E46" s="1"/>
      <c r="F46" s="1"/>
      <c r="G46" s="1"/>
      <c r="H46" s="568"/>
      <c r="I46" s="4"/>
      <c r="J46" s="16"/>
      <c r="K46" s="29"/>
      <c r="L46" s="16"/>
      <c r="M46" s="177"/>
      <c r="N46" s="177"/>
      <c r="O46" s="177"/>
      <c r="P46" s="569"/>
      <c r="Q46" s="29"/>
      <c r="R46" s="16"/>
      <c r="S46" s="833"/>
      <c r="T46" s="16"/>
      <c r="U46" s="576"/>
      <c r="X46"/>
    </row>
    <row r="47" spans="1:24" s="11" customFormat="1" x14ac:dyDescent="0.25">
      <c r="A47" s="219"/>
      <c r="B47" s="49"/>
      <c r="C47" s="1"/>
      <c r="D47" s="1"/>
      <c r="E47" s="1"/>
      <c r="F47" s="1"/>
      <c r="G47" s="1"/>
      <c r="H47" s="568"/>
      <c r="I47" s="4"/>
      <c r="J47" s="16"/>
      <c r="K47" s="29"/>
      <c r="L47" s="16"/>
      <c r="M47" s="177"/>
      <c r="N47" s="177"/>
      <c r="O47" s="177"/>
      <c r="P47" s="569"/>
      <c r="Q47" s="29"/>
      <c r="R47" s="16"/>
      <c r="S47" s="833"/>
      <c r="T47" s="16"/>
      <c r="U47" s="576"/>
      <c r="X47"/>
    </row>
    <row r="48" spans="1:24" s="11" customFormat="1" x14ac:dyDescent="0.25">
      <c r="A48" s="219"/>
      <c r="B48" s="49"/>
      <c r="C48" s="1"/>
      <c r="D48" s="1"/>
      <c r="E48" s="1"/>
      <c r="F48" s="1"/>
      <c r="G48" s="1"/>
      <c r="H48" s="568"/>
      <c r="I48" s="4"/>
      <c r="J48" s="16"/>
      <c r="K48" s="29"/>
      <c r="L48" s="16"/>
      <c r="M48" s="177"/>
      <c r="N48" s="177"/>
      <c r="O48" s="177"/>
      <c r="P48" s="569"/>
      <c r="Q48" s="29"/>
      <c r="R48" s="16"/>
      <c r="S48" s="833"/>
      <c r="T48" s="16"/>
      <c r="U48" s="576"/>
      <c r="X48"/>
    </row>
    <row r="49" spans="1:24" s="11" customFormat="1" x14ac:dyDescent="0.25">
      <c r="A49" s="219"/>
      <c r="B49" s="49"/>
      <c r="C49" s="1"/>
      <c r="D49" s="1"/>
      <c r="E49" s="1"/>
      <c r="F49" s="1"/>
      <c r="G49" s="1"/>
      <c r="H49" s="568"/>
      <c r="I49" s="4"/>
      <c r="J49" s="16"/>
      <c r="K49" s="29"/>
      <c r="L49" s="16"/>
      <c r="M49" s="177"/>
      <c r="N49" s="177"/>
      <c r="O49" s="177"/>
      <c r="P49" s="569"/>
      <c r="Q49" s="29"/>
      <c r="R49" s="16"/>
      <c r="S49" s="833"/>
      <c r="T49" s="16"/>
      <c r="U49" s="576"/>
      <c r="X49"/>
    </row>
    <row r="50" spans="1:24" s="11" customFormat="1" x14ac:dyDescent="0.25">
      <c r="A50" s="219"/>
      <c r="B50" s="49"/>
      <c r="C50" s="1"/>
      <c r="D50" s="1"/>
      <c r="E50" s="1"/>
      <c r="F50" s="1"/>
      <c r="G50" s="1"/>
      <c r="H50" s="568"/>
      <c r="I50" s="4"/>
      <c r="J50" s="16"/>
      <c r="K50" s="29"/>
      <c r="L50" s="16"/>
      <c r="M50" s="177"/>
      <c r="N50" s="177"/>
      <c r="O50" s="177"/>
      <c r="P50" s="569"/>
      <c r="Q50" s="29"/>
      <c r="R50" s="16"/>
      <c r="S50" s="833"/>
      <c r="T50" s="16"/>
      <c r="U50" s="576"/>
      <c r="X50"/>
    </row>
    <row r="51" spans="1:24" s="11" customFormat="1" x14ac:dyDescent="0.25">
      <c r="A51" s="219"/>
      <c r="B51" s="49"/>
      <c r="C51" s="1"/>
      <c r="D51" s="1"/>
      <c r="E51" s="1"/>
      <c r="F51" s="1"/>
      <c r="G51" s="1"/>
      <c r="H51" s="568"/>
      <c r="I51" s="4"/>
      <c r="J51" s="16"/>
      <c r="K51" s="29"/>
      <c r="L51" s="16"/>
      <c r="M51" s="177"/>
      <c r="N51" s="177"/>
      <c r="O51" s="177"/>
      <c r="P51" s="569"/>
      <c r="Q51" s="29"/>
      <c r="R51" s="16"/>
      <c r="S51" s="833"/>
      <c r="T51" s="16"/>
      <c r="U51" s="576"/>
      <c r="X51"/>
    </row>
    <row r="52" spans="1:24" s="11" customFormat="1" x14ac:dyDescent="0.25">
      <c r="A52" s="219"/>
      <c r="B52" s="49"/>
      <c r="C52" s="1"/>
      <c r="D52" s="1"/>
      <c r="E52" s="1"/>
      <c r="F52" s="1"/>
      <c r="G52" s="1"/>
      <c r="H52" s="568"/>
      <c r="I52" s="4"/>
      <c r="J52" s="16"/>
      <c r="K52" s="29"/>
      <c r="L52" s="16"/>
      <c r="M52" s="177"/>
      <c r="N52" s="177"/>
      <c r="O52" s="177"/>
      <c r="P52" s="569"/>
      <c r="Q52" s="29"/>
      <c r="R52" s="16"/>
      <c r="S52" s="833"/>
      <c r="T52" s="16"/>
      <c r="U52" s="576"/>
      <c r="X52"/>
    </row>
    <row r="53" spans="1:24" s="11" customFormat="1" x14ac:dyDescent="0.25">
      <c r="A53" s="219"/>
      <c r="B53" s="49"/>
      <c r="C53" s="1"/>
      <c r="D53" s="1"/>
      <c r="E53" s="1"/>
      <c r="F53" s="1"/>
      <c r="G53" s="1"/>
      <c r="H53" s="568"/>
      <c r="I53" s="4"/>
      <c r="J53" s="16"/>
      <c r="K53" s="29"/>
      <c r="L53" s="16"/>
      <c r="M53" s="177"/>
      <c r="N53" s="177"/>
      <c r="O53" s="177"/>
      <c r="P53" s="569"/>
      <c r="Q53" s="29"/>
      <c r="R53" s="16"/>
      <c r="S53" s="833"/>
      <c r="T53" s="16"/>
      <c r="U53" s="576"/>
      <c r="X53"/>
    </row>
    <row r="54" spans="1:24" s="11" customFormat="1" x14ac:dyDescent="0.25">
      <c r="A54" s="219"/>
      <c r="B54" s="49"/>
      <c r="C54" s="1"/>
      <c r="D54" s="1"/>
      <c r="E54" s="1"/>
      <c r="F54" s="1"/>
      <c r="G54" s="1"/>
      <c r="H54" s="568"/>
      <c r="I54" s="4"/>
      <c r="J54" s="16"/>
      <c r="K54" s="29"/>
      <c r="L54" s="16"/>
      <c r="M54" s="177"/>
      <c r="N54" s="177"/>
      <c r="O54" s="177"/>
      <c r="P54" s="569"/>
      <c r="Q54" s="29"/>
      <c r="R54" s="16"/>
      <c r="S54" s="833"/>
      <c r="T54" s="16"/>
      <c r="U54" s="576"/>
      <c r="X54"/>
    </row>
    <row r="55" spans="1:24" s="11" customFormat="1" x14ac:dyDescent="0.25">
      <c r="A55" s="219"/>
      <c r="B55" s="49"/>
      <c r="C55" s="1"/>
      <c r="D55" s="1"/>
      <c r="E55" s="1"/>
      <c r="F55" s="1"/>
      <c r="G55" s="1"/>
      <c r="H55" s="568"/>
      <c r="I55" s="4"/>
      <c r="J55" s="16"/>
      <c r="K55" s="29"/>
      <c r="L55" s="16"/>
      <c r="M55" s="177"/>
      <c r="N55" s="177"/>
      <c r="O55" s="177"/>
      <c r="P55" s="569"/>
      <c r="Q55" s="29"/>
      <c r="R55" s="16"/>
      <c r="S55" s="833"/>
      <c r="T55" s="16"/>
      <c r="U55" s="576"/>
      <c r="X55"/>
    </row>
    <row r="56" spans="1:24" s="11" customFormat="1" x14ac:dyDescent="0.25">
      <c r="A56" s="219"/>
      <c r="B56" s="49"/>
      <c r="C56" s="1"/>
      <c r="D56" s="1"/>
      <c r="E56" s="1"/>
      <c r="F56" s="1"/>
      <c r="G56" s="1"/>
      <c r="H56" s="568"/>
      <c r="I56" s="4"/>
      <c r="J56" s="16"/>
      <c r="K56" s="29"/>
      <c r="L56" s="16"/>
      <c r="M56" s="177"/>
      <c r="N56" s="177"/>
      <c r="O56" s="177"/>
      <c r="P56" s="569"/>
      <c r="Q56" s="29"/>
      <c r="R56" s="16"/>
      <c r="S56" s="833"/>
      <c r="T56" s="16"/>
      <c r="U56" s="576"/>
      <c r="X56"/>
    </row>
    <row r="57" spans="1:24" s="11" customFormat="1" x14ac:dyDescent="0.25">
      <c r="A57" s="219"/>
      <c r="B57" s="49"/>
      <c r="C57" s="1"/>
      <c r="D57" s="1"/>
      <c r="E57" s="1"/>
      <c r="F57" s="1"/>
      <c r="G57" s="1"/>
      <c r="H57" s="568"/>
      <c r="I57" s="4"/>
      <c r="J57" s="16"/>
      <c r="K57" s="29"/>
      <c r="L57" s="16"/>
      <c r="M57" s="177"/>
      <c r="N57" s="177"/>
      <c r="O57" s="177"/>
      <c r="P57" s="569"/>
      <c r="Q57" s="29"/>
      <c r="R57" s="16"/>
      <c r="S57" s="833"/>
      <c r="T57" s="16"/>
      <c r="U57" s="576"/>
      <c r="X57"/>
    </row>
    <row r="58" spans="1:24" s="11" customFormat="1" x14ac:dyDescent="0.25">
      <c r="A58" s="219"/>
      <c r="B58" s="49"/>
      <c r="C58" s="1"/>
      <c r="D58" s="1"/>
      <c r="E58" s="1"/>
      <c r="F58" s="1"/>
      <c r="G58" s="1"/>
      <c r="H58" s="568"/>
      <c r="I58" s="4"/>
      <c r="J58" s="16"/>
      <c r="K58" s="29"/>
      <c r="L58" s="16"/>
      <c r="M58" s="177"/>
      <c r="N58" s="177"/>
      <c r="O58" s="177"/>
      <c r="P58" s="569"/>
      <c r="Q58" s="29"/>
      <c r="R58" s="16"/>
      <c r="S58" s="833"/>
      <c r="T58" s="16"/>
      <c r="U58" s="576"/>
      <c r="X58"/>
    </row>
    <row r="59" spans="1:24" s="11" customFormat="1" x14ac:dyDescent="0.25">
      <c r="A59" s="219"/>
      <c r="B59" s="49"/>
      <c r="C59" s="1"/>
      <c r="D59" s="1"/>
      <c r="E59" s="1"/>
      <c r="F59" s="1"/>
      <c r="G59" s="1"/>
      <c r="H59" s="568"/>
      <c r="I59" s="4"/>
      <c r="J59" s="16"/>
      <c r="K59" s="29"/>
      <c r="L59" s="16"/>
      <c r="M59" s="177"/>
      <c r="N59" s="177"/>
      <c r="O59" s="177"/>
      <c r="P59" s="569"/>
      <c r="Q59" s="29"/>
      <c r="R59" s="16"/>
      <c r="S59" s="833"/>
      <c r="T59" s="16"/>
      <c r="U59" s="576"/>
      <c r="X59"/>
    </row>
    <row r="60" spans="1:24" s="11" customFormat="1" x14ac:dyDescent="0.25">
      <c r="A60" s="219"/>
      <c r="B60" s="49"/>
      <c r="C60" s="1"/>
      <c r="D60" s="1"/>
      <c r="E60" s="1"/>
      <c r="F60" s="1"/>
      <c r="G60" s="1"/>
      <c r="H60" s="568"/>
      <c r="I60" s="4"/>
      <c r="J60" s="16"/>
      <c r="K60" s="29"/>
      <c r="L60" s="16"/>
      <c r="M60" s="177"/>
      <c r="N60" s="177"/>
      <c r="O60" s="177"/>
      <c r="P60" s="569"/>
      <c r="Q60" s="29"/>
      <c r="R60" s="16"/>
      <c r="S60" s="833"/>
      <c r="T60" s="16"/>
      <c r="U60" s="576"/>
      <c r="X60"/>
    </row>
    <row r="61" spans="1:24" s="11" customFormat="1" x14ac:dyDescent="0.25">
      <c r="A61" s="219"/>
      <c r="B61" s="49"/>
      <c r="C61" s="1"/>
      <c r="D61" s="1"/>
      <c r="E61" s="1"/>
      <c r="F61" s="1"/>
      <c r="G61" s="1"/>
      <c r="H61" s="568"/>
      <c r="I61" s="4"/>
      <c r="J61" s="16"/>
      <c r="K61" s="29"/>
      <c r="L61" s="16"/>
      <c r="M61" s="177"/>
      <c r="N61" s="177"/>
      <c r="O61" s="177"/>
      <c r="P61" s="569"/>
      <c r="Q61" s="29"/>
      <c r="R61" s="16"/>
      <c r="S61" s="833"/>
      <c r="T61" s="16"/>
      <c r="U61" s="576"/>
      <c r="X61"/>
    </row>
    <row r="62" spans="1:24" s="11" customFormat="1" x14ac:dyDescent="0.25">
      <c r="A62" s="219"/>
      <c r="B62" s="49"/>
      <c r="C62" s="1"/>
      <c r="D62" s="1"/>
      <c r="E62" s="1"/>
      <c r="F62" s="1"/>
      <c r="G62" s="1"/>
      <c r="H62" s="568"/>
      <c r="I62" s="4"/>
      <c r="J62" s="16"/>
      <c r="K62" s="29"/>
      <c r="L62" s="16"/>
      <c r="M62" s="177"/>
      <c r="N62" s="177"/>
      <c r="O62" s="177"/>
      <c r="P62" s="569"/>
      <c r="Q62" s="29"/>
      <c r="R62" s="16"/>
      <c r="S62" s="833"/>
      <c r="T62" s="16"/>
      <c r="U62" s="576"/>
      <c r="X62"/>
    </row>
    <row r="63" spans="1:24" s="11" customFormat="1" x14ac:dyDescent="0.25">
      <c r="A63" s="219"/>
      <c r="B63" s="49"/>
      <c r="C63" s="1"/>
      <c r="D63" s="1"/>
      <c r="E63" s="1"/>
      <c r="F63" s="1"/>
      <c r="G63" s="1"/>
      <c r="H63" s="568"/>
      <c r="I63" s="4"/>
      <c r="J63" s="16"/>
      <c r="K63" s="29"/>
      <c r="L63" s="16"/>
      <c r="M63" s="177"/>
      <c r="N63" s="177"/>
      <c r="O63" s="177"/>
      <c r="P63" s="569"/>
      <c r="Q63" s="29"/>
      <c r="R63" s="16"/>
      <c r="S63" s="833"/>
      <c r="T63" s="16"/>
      <c r="U63" s="576"/>
      <c r="X63"/>
    </row>
    <row r="64" spans="1:24" s="11" customFormat="1" x14ac:dyDescent="0.25">
      <c r="A64" s="219"/>
      <c r="B64" s="49"/>
      <c r="C64" s="1"/>
      <c r="D64" s="1"/>
      <c r="E64" s="1"/>
      <c r="F64" s="1"/>
      <c r="G64" s="1"/>
      <c r="H64" s="568"/>
      <c r="I64" s="4"/>
      <c r="J64" s="16"/>
      <c r="K64" s="29"/>
      <c r="L64" s="16"/>
      <c r="M64" s="177"/>
      <c r="N64" s="177"/>
      <c r="O64" s="177"/>
      <c r="P64" s="569"/>
      <c r="Q64" s="29"/>
      <c r="R64" s="16"/>
      <c r="S64" s="833"/>
      <c r="T64" s="16"/>
      <c r="U64" s="576"/>
      <c r="X64"/>
    </row>
    <row r="65" spans="1:24" s="11" customFormat="1" x14ac:dyDescent="0.25">
      <c r="A65" s="219"/>
      <c r="B65" s="49"/>
      <c r="C65" s="1"/>
      <c r="D65" s="1"/>
      <c r="E65" s="1"/>
      <c r="F65" s="1"/>
      <c r="G65" s="1"/>
      <c r="H65" s="568"/>
      <c r="I65" s="4"/>
      <c r="J65" s="16"/>
      <c r="K65" s="29"/>
      <c r="L65" s="16"/>
      <c r="M65" s="177"/>
      <c r="N65" s="177"/>
      <c r="O65" s="177"/>
      <c r="P65" s="569"/>
      <c r="Q65" s="29"/>
      <c r="R65" s="16"/>
      <c r="S65" s="833"/>
      <c r="T65" s="16"/>
      <c r="U65" s="576"/>
      <c r="X65"/>
    </row>
    <row r="66" spans="1:24" s="11" customFormat="1" x14ac:dyDescent="0.25">
      <c r="A66" s="219"/>
      <c r="B66" s="49"/>
      <c r="C66" s="1"/>
      <c r="D66" s="1"/>
      <c r="E66" s="1"/>
      <c r="F66" s="1"/>
      <c r="G66" s="1"/>
      <c r="H66" s="568"/>
      <c r="I66" s="4"/>
      <c r="J66" s="16"/>
      <c r="K66" s="29"/>
      <c r="L66" s="16"/>
      <c r="M66" s="177"/>
      <c r="N66" s="177"/>
      <c r="O66" s="177"/>
      <c r="P66" s="569"/>
      <c r="Q66" s="29"/>
      <c r="R66" s="16"/>
      <c r="S66" s="833"/>
      <c r="T66" s="16"/>
      <c r="U66" s="576"/>
      <c r="X66"/>
    </row>
    <row r="67" spans="1:24" s="11" customFormat="1" x14ac:dyDescent="0.25">
      <c r="A67" s="219"/>
      <c r="B67" s="49"/>
      <c r="C67" s="1"/>
      <c r="D67" s="1"/>
      <c r="E67" s="1"/>
      <c r="F67" s="1"/>
      <c r="G67" s="1"/>
      <c r="H67" s="568"/>
      <c r="I67" s="4"/>
      <c r="J67" s="16"/>
      <c r="K67" s="29"/>
      <c r="L67" s="16"/>
      <c r="M67" s="177"/>
      <c r="N67" s="177"/>
      <c r="O67" s="177"/>
      <c r="P67" s="569"/>
      <c r="Q67" s="29"/>
      <c r="R67" s="16"/>
      <c r="S67" s="833"/>
      <c r="T67" s="16"/>
      <c r="U67" s="576"/>
      <c r="X67"/>
    </row>
    <row r="68" spans="1:24" s="11" customFormat="1" x14ac:dyDescent="0.25">
      <c r="A68" s="219"/>
      <c r="B68" s="49"/>
      <c r="C68" s="1"/>
      <c r="D68" s="1"/>
      <c r="E68" s="1"/>
      <c r="F68" s="1"/>
      <c r="G68" s="1"/>
      <c r="H68" s="568"/>
      <c r="I68" s="4"/>
      <c r="J68" s="16"/>
      <c r="K68" s="29"/>
      <c r="L68" s="16"/>
      <c r="M68" s="177"/>
      <c r="N68" s="177"/>
      <c r="O68" s="177"/>
      <c r="P68" s="569"/>
      <c r="Q68" s="29"/>
      <c r="R68" s="16"/>
      <c r="S68" s="833"/>
      <c r="T68" s="16"/>
      <c r="U68" s="576"/>
      <c r="X68"/>
    </row>
    <row r="69" spans="1:24" s="11" customFormat="1" x14ac:dyDescent="0.25">
      <c r="A69" s="219"/>
      <c r="B69" s="49"/>
      <c r="C69" s="1"/>
      <c r="D69" s="1"/>
      <c r="E69" s="1"/>
      <c r="F69" s="1"/>
      <c r="G69" s="1"/>
      <c r="H69" s="568"/>
      <c r="I69" s="4"/>
      <c r="J69" s="16"/>
      <c r="K69" s="29"/>
      <c r="L69" s="16"/>
      <c r="M69" s="177"/>
      <c r="N69" s="177"/>
      <c r="O69" s="177"/>
      <c r="P69" s="569"/>
      <c r="Q69" s="29"/>
      <c r="R69" s="16"/>
      <c r="S69" s="833"/>
      <c r="T69" s="16"/>
      <c r="U69" s="576"/>
      <c r="X69"/>
    </row>
    <row r="70" spans="1:24" s="11" customFormat="1" x14ac:dyDescent="0.25">
      <c r="A70" s="219"/>
      <c r="B70" s="49"/>
      <c r="C70" s="1"/>
      <c r="D70" s="1"/>
      <c r="E70" s="1"/>
      <c r="F70" s="1"/>
      <c r="G70" s="1"/>
      <c r="H70" s="568"/>
      <c r="I70" s="4"/>
      <c r="J70" s="16"/>
      <c r="K70" s="29"/>
      <c r="L70" s="16"/>
      <c r="M70" s="177"/>
      <c r="N70" s="177"/>
      <c r="O70" s="177"/>
      <c r="P70" s="569"/>
      <c r="Q70" s="29"/>
      <c r="R70" s="16"/>
      <c r="S70" s="833"/>
      <c r="T70" s="16"/>
      <c r="U70" s="576"/>
      <c r="X70"/>
    </row>
    <row r="71" spans="1:24" s="11" customFormat="1" x14ac:dyDescent="0.25">
      <c r="A71" s="219"/>
      <c r="B71" s="49"/>
      <c r="C71" s="1"/>
      <c r="D71" s="1"/>
      <c r="E71" s="1"/>
      <c r="F71" s="1"/>
      <c r="G71" s="1"/>
      <c r="H71" s="568"/>
      <c r="I71" s="4"/>
      <c r="J71" s="16"/>
      <c r="K71" s="29"/>
      <c r="L71" s="16"/>
      <c r="M71" s="177"/>
      <c r="N71" s="177"/>
      <c r="O71" s="177"/>
      <c r="P71" s="569"/>
      <c r="Q71" s="29"/>
      <c r="R71" s="16"/>
      <c r="S71" s="833"/>
      <c r="T71" s="16"/>
      <c r="U71" s="576"/>
      <c r="X71"/>
    </row>
    <row r="72" spans="1:24" s="11" customFormat="1" x14ac:dyDescent="0.25">
      <c r="A72" s="219"/>
      <c r="B72" s="49"/>
      <c r="C72" s="1"/>
      <c r="D72" s="1"/>
      <c r="E72" s="1"/>
      <c r="F72" s="1"/>
      <c r="G72" s="1"/>
      <c r="H72" s="568"/>
      <c r="I72" s="4"/>
      <c r="J72" s="16"/>
      <c r="K72" s="29"/>
      <c r="L72" s="16"/>
      <c r="M72" s="177"/>
      <c r="N72" s="177"/>
      <c r="O72" s="177"/>
      <c r="P72" s="569"/>
      <c r="Q72" s="29"/>
      <c r="R72" s="16"/>
      <c r="S72" s="833"/>
      <c r="T72" s="16"/>
      <c r="U72" s="576"/>
      <c r="X72"/>
    </row>
    <row r="73" spans="1:24" s="11" customFormat="1" x14ac:dyDescent="0.25">
      <c r="A73" s="219"/>
      <c r="B73" s="49"/>
      <c r="C73" s="1"/>
      <c r="D73" s="1"/>
      <c r="E73" s="1"/>
      <c r="F73" s="1"/>
      <c r="G73" s="1"/>
      <c r="H73" s="568"/>
      <c r="I73" s="4"/>
      <c r="J73" s="16"/>
      <c r="K73" s="29"/>
      <c r="L73" s="16"/>
      <c r="M73" s="177"/>
      <c r="N73" s="177"/>
      <c r="O73" s="177"/>
      <c r="P73" s="569"/>
      <c r="Q73" s="29"/>
      <c r="R73" s="16"/>
      <c r="S73" s="833"/>
      <c r="T73" s="16"/>
      <c r="U73" s="576"/>
      <c r="X73"/>
    </row>
    <row r="74" spans="1:24" s="11" customFormat="1" x14ac:dyDescent="0.25">
      <c r="A74" s="219"/>
      <c r="B74" s="49"/>
      <c r="C74" s="1"/>
      <c r="D74" s="1"/>
      <c r="E74" s="1"/>
      <c r="F74" s="1"/>
      <c r="G74" s="1"/>
      <c r="H74" s="568"/>
      <c r="I74" s="4"/>
      <c r="J74" s="16"/>
      <c r="K74" s="29"/>
      <c r="L74" s="16"/>
      <c r="M74" s="177"/>
      <c r="N74" s="177"/>
      <c r="O74" s="177"/>
      <c r="P74" s="569"/>
      <c r="Q74" s="29"/>
      <c r="R74" s="16"/>
      <c r="S74" s="833"/>
      <c r="T74" s="16"/>
      <c r="U74" s="576"/>
      <c r="X74"/>
    </row>
    <row r="75" spans="1:24" s="11" customFormat="1" x14ac:dyDescent="0.25">
      <c r="A75" s="219"/>
      <c r="B75" s="49"/>
      <c r="C75" s="1"/>
      <c r="D75" s="1"/>
      <c r="E75" s="1"/>
      <c r="F75" s="1"/>
      <c r="G75" s="1"/>
      <c r="H75" s="568"/>
      <c r="I75" s="4"/>
      <c r="J75" s="16"/>
      <c r="K75" s="29"/>
      <c r="L75" s="16"/>
      <c r="M75" s="177"/>
      <c r="N75" s="177"/>
      <c r="O75" s="177"/>
      <c r="P75" s="569"/>
      <c r="Q75" s="29"/>
      <c r="R75" s="16"/>
      <c r="S75" s="833"/>
      <c r="T75" s="16"/>
      <c r="U75" s="576"/>
      <c r="X75"/>
    </row>
    <row r="76" spans="1:24" s="11" customFormat="1" x14ac:dyDescent="0.25">
      <c r="A76" s="219"/>
      <c r="B76" s="49"/>
      <c r="C76" s="1"/>
      <c r="D76" s="1"/>
      <c r="E76" s="1"/>
      <c r="F76" s="1"/>
      <c r="G76" s="1"/>
      <c r="H76" s="568"/>
      <c r="I76" s="4"/>
      <c r="J76" s="16"/>
      <c r="K76" s="29"/>
      <c r="L76" s="16"/>
      <c r="M76" s="177"/>
      <c r="N76" s="177"/>
      <c r="O76" s="177"/>
      <c r="P76" s="569"/>
      <c r="Q76" s="29"/>
      <c r="R76" s="16"/>
      <c r="S76" s="833"/>
      <c r="T76" s="16"/>
      <c r="U76" s="576"/>
      <c r="X76"/>
    </row>
    <row r="77" spans="1:24" s="11" customFormat="1" x14ac:dyDescent="0.25">
      <c r="A77" s="219"/>
      <c r="B77" s="49"/>
      <c r="C77" s="1"/>
      <c r="D77" s="1"/>
      <c r="E77" s="1"/>
      <c r="F77" s="1"/>
      <c r="G77" s="1"/>
      <c r="H77" s="568"/>
      <c r="I77" s="4"/>
      <c r="J77" s="16"/>
      <c r="K77" s="29"/>
      <c r="L77" s="16"/>
      <c r="M77" s="177"/>
      <c r="N77" s="177"/>
      <c r="O77" s="177"/>
      <c r="P77" s="569"/>
      <c r="Q77" s="29"/>
      <c r="R77" s="16"/>
      <c r="S77" s="833"/>
      <c r="T77" s="16"/>
      <c r="U77" s="576"/>
      <c r="X77"/>
    </row>
    <row r="78" spans="1:24" s="11" customFormat="1" x14ac:dyDescent="0.25">
      <c r="A78" s="219"/>
      <c r="B78" s="49"/>
      <c r="C78" s="1"/>
      <c r="D78" s="1"/>
      <c r="E78" s="1"/>
      <c r="F78" s="1"/>
      <c r="G78" s="1"/>
      <c r="H78" s="568"/>
      <c r="I78" s="4"/>
      <c r="J78" s="16"/>
      <c r="K78" s="29"/>
      <c r="L78" s="16"/>
      <c r="M78" s="177"/>
      <c r="N78" s="177"/>
      <c r="O78" s="177"/>
      <c r="P78" s="569"/>
      <c r="Q78" s="29"/>
      <c r="R78" s="16"/>
      <c r="S78" s="833"/>
      <c r="T78" s="16"/>
      <c r="U78" s="576"/>
      <c r="X78"/>
    </row>
    <row r="79" spans="1:24" s="11" customFormat="1" x14ac:dyDescent="0.25">
      <c r="A79" s="219"/>
      <c r="B79" s="49"/>
      <c r="C79" s="1"/>
      <c r="D79" s="1"/>
      <c r="E79" s="1"/>
      <c r="F79" s="1"/>
      <c r="G79" s="1"/>
      <c r="H79" s="568"/>
      <c r="I79" s="4"/>
      <c r="J79" s="16"/>
      <c r="K79" s="29"/>
      <c r="L79" s="16"/>
      <c r="M79" s="177"/>
      <c r="N79" s="177"/>
      <c r="O79" s="177"/>
      <c r="P79" s="569"/>
      <c r="Q79" s="29"/>
      <c r="R79" s="16"/>
      <c r="S79" s="833"/>
      <c r="T79" s="16"/>
      <c r="U79" s="576"/>
      <c r="X79"/>
    </row>
    <row r="80" spans="1:24" s="11" customFormat="1" x14ac:dyDescent="0.25">
      <c r="A80" s="219"/>
      <c r="B80" s="49"/>
      <c r="C80" s="1"/>
      <c r="D80" s="1"/>
      <c r="E80" s="1"/>
      <c r="F80" s="1"/>
      <c r="G80" s="1"/>
      <c r="H80" s="568"/>
      <c r="I80" s="4"/>
      <c r="J80" s="16"/>
      <c r="K80" s="29"/>
      <c r="L80" s="16"/>
      <c r="M80" s="177"/>
      <c r="N80" s="177"/>
      <c r="O80" s="177"/>
      <c r="P80" s="569"/>
      <c r="Q80" s="29"/>
      <c r="R80" s="16"/>
      <c r="S80" s="833"/>
      <c r="T80" s="16"/>
      <c r="U80" s="576"/>
      <c r="X80"/>
    </row>
    <row r="81" spans="1:24" s="11" customFormat="1" x14ac:dyDescent="0.25">
      <c r="A81" s="219"/>
      <c r="B81" s="49"/>
      <c r="C81" s="1"/>
      <c r="D81" s="1"/>
      <c r="E81" s="1"/>
      <c r="F81" s="1"/>
      <c r="G81" s="1"/>
      <c r="H81" s="568"/>
      <c r="I81" s="4"/>
      <c r="J81" s="16"/>
      <c r="K81" s="29"/>
      <c r="L81" s="16"/>
      <c r="M81" s="177"/>
      <c r="N81" s="177"/>
      <c r="O81" s="177"/>
      <c r="P81" s="569"/>
      <c r="Q81" s="29"/>
      <c r="R81" s="16"/>
      <c r="S81" s="833"/>
      <c r="T81" s="16"/>
      <c r="U81" s="576"/>
      <c r="X81"/>
    </row>
    <row r="82" spans="1:24" s="11" customFormat="1" x14ac:dyDescent="0.25">
      <c r="A82" s="219"/>
      <c r="B82" s="49"/>
      <c r="C82" s="1"/>
      <c r="D82" s="1"/>
      <c r="E82" s="1"/>
      <c r="F82" s="1"/>
      <c r="G82" s="1"/>
      <c r="H82" s="568"/>
      <c r="I82" s="4"/>
      <c r="J82" s="16"/>
      <c r="K82" s="29"/>
      <c r="L82" s="16"/>
      <c r="M82" s="177"/>
      <c r="N82" s="177"/>
      <c r="O82" s="177"/>
      <c r="P82" s="569"/>
      <c r="Q82" s="29"/>
      <c r="R82" s="16"/>
      <c r="S82" s="833"/>
      <c r="T82" s="16"/>
      <c r="U82" s="576"/>
      <c r="X82"/>
    </row>
    <row r="83" spans="1:24" s="11" customFormat="1" x14ac:dyDescent="0.25">
      <c r="A83" s="219"/>
      <c r="B83" s="49"/>
      <c r="C83" s="1"/>
      <c r="D83" s="1"/>
      <c r="E83" s="1"/>
      <c r="F83" s="1"/>
      <c r="G83" s="1"/>
      <c r="H83" s="568"/>
      <c r="I83" s="4"/>
      <c r="J83" s="16"/>
      <c r="K83" s="29"/>
      <c r="L83" s="16"/>
      <c r="M83" s="177"/>
      <c r="N83" s="177"/>
      <c r="O83" s="177"/>
      <c r="P83" s="569"/>
      <c r="Q83" s="29"/>
      <c r="R83" s="16"/>
      <c r="S83" s="833"/>
      <c r="T83" s="16"/>
      <c r="U83" s="576"/>
      <c r="X83"/>
    </row>
    <row r="84" spans="1:24" s="11" customFormat="1" x14ac:dyDescent="0.25">
      <c r="A84" s="219"/>
      <c r="B84" s="49"/>
      <c r="C84" s="1"/>
      <c r="D84" s="1"/>
      <c r="E84" s="1"/>
      <c r="F84" s="1"/>
      <c r="G84" s="1"/>
      <c r="H84" s="568"/>
      <c r="I84" s="4"/>
      <c r="J84" s="16"/>
      <c r="K84" s="29"/>
      <c r="L84" s="16"/>
      <c r="M84" s="177"/>
      <c r="N84" s="177"/>
      <c r="O84" s="177"/>
      <c r="P84" s="569"/>
      <c r="Q84" s="29"/>
      <c r="R84" s="16"/>
      <c r="S84" s="833"/>
      <c r="T84" s="16"/>
      <c r="U84" s="576"/>
      <c r="X84"/>
    </row>
    <row r="85" spans="1:24" s="11" customFormat="1" x14ac:dyDescent="0.25">
      <c r="A85" s="219"/>
      <c r="B85" s="49"/>
      <c r="C85" s="1"/>
      <c r="D85" s="1"/>
      <c r="E85" s="1"/>
      <c r="F85" s="1"/>
      <c r="G85" s="1"/>
      <c r="H85" s="568"/>
      <c r="I85" s="4"/>
      <c r="J85" s="16"/>
      <c r="K85" s="29"/>
      <c r="L85" s="16"/>
      <c r="M85" s="177"/>
      <c r="N85" s="177"/>
      <c r="O85" s="177"/>
      <c r="P85" s="569"/>
      <c r="Q85" s="29"/>
      <c r="R85" s="16"/>
      <c r="S85" s="833"/>
      <c r="T85" s="16"/>
      <c r="U85" s="576"/>
      <c r="X85"/>
    </row>
    <row r="86" spans="1:24" s="11" customFormat="1" x14ac:dyDescent="0.25">
      <c r="A86" s="219"/>
      <c r="B86" s="49"/>
      <c r="C86" s="1"/>
      <c r="D86" s="1"/>
      <c r="E86" s="1"/>
      <c r="F86" s="1"/>
      <c r="G86" s="1"/>
      <c r="H86" s="568"/>
      <c r="I86" s="4"/>
      <c r="J86" s="16"/>
      <c r="K86" s="29"/>
      <c r="L86" s="16"/>
      <c r="M86" s="177"/>
      <c r="N86" s="177"/>
      <c r="O86" s="177"/>
      <c r="P86" s="569"/>
      <c r="Q86" s="29"/>
      <c r="R86" s="16"/>
      <c r="S86" s="833"/>
      <c r="T86" s="16"/>
      <c r="U86" s="576"/>
      <c r="X86"/>
    </row>
    <row r="87" spans="1:24" s="11" customFormat="1" x14ac:dyDescent="0.25">
      <c r="A87" s="219"/>
      <c r="B87" s="49"/>
      <c r="C87" s="1"/>
      <c r="D87" s="1"/>
      <c r="E87" s="1"/>
      <c r="F87" s="1"/>
      <c r="G87" s="1"/>
      <c r="H87" s="568"/>
      <c r="I87" s="4"/>
      <c r="J87" s="16"/>
      <c r="K87" s="29"/>
      <c r="L87" s="16"/>
      <c r="M87" s="177"/>
      <c r="N87" s="177"/>
      <c r="O87" s="177"/>
      <c r="P87" s="569"/>
      <c r="Q87" s="29"/>
      <c r="R87" s="16"/>
      <c r="S87" s="833"/>
      <c r="T87" s="16"/>
      <c r="U87" s="576"/>
      <c r="X87"/>
    </row>
    <row r="88" spans="1:24" s="11" customFormat="1" x14ac:dyDescent="0.25">
      <c r="A88" s="219"/>
      <c r="B88" s="49"/>
      <c r="C88" s="1"/>
      <c r="D88" s="1"/>
      <c r="E88" s="1"/>
      <c r="F88" s="1"/>
      <c r="G88" s="1"/>
      <c r="H88" s="568"/>
      <c r="I88" s="4"/>
      <c r="J88" s="16"/>
      <c r="K88" s="29"/>
      <c r="L88" s="16"/>
      <c r="M88" s="177"/>
      <c r="N88" s="177"/>
      <c r="O88" s="177"/>
      <c r="P88" s="569"/>
      <c r="Q88" s="29"/>
      <c r="R88" s="16"/>
      <c r="S88" s="833"/>
      <c r="T88" s="16"/>
      <c r="U88" s="576"/>
      <c r="X88"/>
    </row>
    <row r="89" spans="1:24" s="11" customFormat="1" x14ac:dyDescent="0.25">
      <c r="A89" s="219"/>
      <c r="B89" s="49"/>
      <c r="C89" s="1"/>
      <c r="D89" s="1"/>
      <c r="E89" s="1"/>
      <c r="F89" s="1"/>
      <c r="G89" s="1"/>
      <c r="H89" s="568"/>
      <c r="I89" s="4"/>
      <c r="J89" s="16"/>
      <c r="K89" s="29"/>
      <c r="L89" s="16"/>
      <c r="M89" s="177"/>
      <c r="N89" s="177"/>
      <c r="O89" s="177"/>
      <c r="P89" s="569"/>
      <c r="Q89" s="29"/>
      <c r="R89" s="16"/>
      <c r="S89" s="833"/>
      <c r="T89" s="16"/>
      <c r="U89" s="576"/>
      <c r="X89"/>
    </row>
    <row r="90" spans="1:24" s="11" customFormat="1" x14ac:dyDescent="0.25">
      <c r="A90" s="219"/>
      <c r="B90" s="49"/>
      <c r="C90" s="1"/>
      <c r="D90" s="1"/>
      <c r="E90" s="1"/>
      <c r="F90" s="1"/>
      <c r="G90" s="1"/>
      <c r="H90" s="568"/>
      <c r="I90" s="4"/>
      <c r="J90" s="16"/>
      <c r="K90" s="29"/>
      <c r="L90" s="16"/>
      <c r="M90" s="177"/>
      <c r="N90" s="177"/>
      <c r="O90" s="177"/>
      <c r="P90" s="569"/>
      <c r="Q90" s="29"/>
      <c r="R90" s="16"/>
      <c r="S90" s="833"/>
      <c r="T90" s="16"/>
      <c r="U90" s="576"/>
      <c r="X90"/>
    </row>
    <row r="91" spans="1:24" s="11" customFormat="1" x14ac:dyDescent="0.25">
      <c r="A91" s="219"/>
      <c r="B91" s="49"/>
      <c r="C91" s="1"/>
      <c r="D91" s="1"/>
      <c r="E91" s="1"/>
      <c r="F91" s="1"/>
      <c r="G91" s="1"/>
      <c r="H91" s="568"/>
      <c r="I91" s="4"/>
      <c r="J91" s="16"/>
      <c r="K91" s="29"/>
      <c r="L91" s="16"/>
      <c r="M91" s="177"/>
      <c r="N91" s="177"/>
      <c r="O91" s="177"/>
      <c r="P91" s="569"/>
      <c r="Q91" s="29"/>
      <c r="R91" s="16"/>
      <c r="S91" s="833"/>
      <c r="T91" s="16"/>
      <c r="U91" s="576"/>
      <c r="X91"/>
    </row>
    <row r="92" spans="1:24" s="11" customFormat="1" x14ac:dyDescent="0.25">
      <c r="A92" s="219"/>
      <c r="B92" s="49"/>
      <c r="C92" s="1"/>
      <c r="D92" s="1"/>
      <c r="E92" s="1"/>
      <c r="F92" s="1"/>
      <c r="G92" s="1"/>
      <c r="H92" s="568"/>
      <c r="I92" s="4"/>
      <c r="J92" s="16"/>
      <c r="K92" s="29"/>
      <c r="L92" s="16"/>
      <c r="M92" s="177"/>
      <c r="N92" s="177"/>
      <c r="O92" s="177"/>
      <c r="P92" s="569"/>
      <c r="Q92" s="29"/>
      <c r="R92" s="16"/>
      <c r="S92" s="833"/>
      <c r="T92" s="16"/>
      <c r="U92" s="576"/>
      <c r="X92"/>
    </row>
    <row r="93" spans="1:24" s="11" customFormat="1" x14ac:dyDescent="0.25">
      <c r="A93" s="219"/>
      <c r="B93" s="49"/>
      <c r="C93" s="1"/>
      <c r="D93" s="1"/>
      <c r="E93" s="1"/>
      <c r="F93" s="1"/>
      <c r="G93" s="1"/>
      <c r="H93" s="568"/>
      <c r="I93" s="4"/>
      <c r="J93" s="16"/>
      <c r="K93" s="29"/>
      <c r="L93" s="16"/>
      <c r="M93" s="177"/>
      <c r="N93" s="177"/>
      <c r="O93" s="177"/>
      <c r="P93" s="569"/>
      <c r="Q93" s="29"/>
      <c r="R93" s="16"/>
      <c r="S93" s="833"/>
      <c r="T93" s="16"/>
      <c r="U93" s="576"/>
      <c r="X93"/>
    </row>
    <row r="94" spans="1:24" s="11" customFormat="1" x14ac:dyDescent="0.25">
      <c r="A94" s="219"/>
      <c r="B94" s="49"/>
      <c r="C94" s="1"/>
      <c r="D94" s="1"/>
      <c r="E94" s="1"/>
      <c r="F94" s="1"/>
      <c r="G94" s="1"/>
      <c r="H94" s="568"/>
      <c r="I94" s="4"/>
      <c r="J94" s="16"/>
      <c r="K94" s="29"/>
      <c r="L94" s="16"/>
      <c r="M94" s="177"/>
      <c r="N94" s="177"/>
      <c r="O94" s="177"/>
      <c r="P94" s="569"/>
      <c r="Q94" s="29"/>
      <c r="R94" s="16"/>
      <c r="S94" s="833"/>
      <c r="T94" s="16"/>
      <c r="U94" s="576"/>
      <c r="X94"/>
    </row>
    <row r="95" spans="1:24" s="11" customFormat="1" x14ac:dyDescent="0.25">
      <c r="A95" s="219"/>
      <c r="B95" s="49"/>
      <c r="C95" s="1"/>
      <c r="D95" s="1"/>
      <c r="E95" s="1"/>
      <c r="F95" s="1"/>
      <c r="G95" s="1"/>
      <c r="H95" s="568"/>
      <c r="I95" s="4"/>
      <c r="J95" s="16"/>
      <c r="K95" s="29"/>
      <c r="L95" s="16"/>
      <c r="M95" s="177"/>
      <c r="N95" s="177"/>
      <c r="O95" s="177"/>
      <c r="P95" s="569"/>
      <c r="Q95" s="29"/>
      <c r="R95" s="16"/>
      <c r="S95" s="833"/>
      <c r="T95" s="16"/>
      <c r="U95" s="576"/>
      <c r="X95"/>
    </row>
    <row r="96" spans="1:24" s="11" customFormat="1" x14ac:dyDescent="0.25">
      <c r="A96" s="219"/>
      <c r="B96" s="49"/>
      <c r="C96" s="1"/>
      <c r="D96" s="1"/>
      <c r="E96" s="1"/>
      <c r="F96" s="1"/>
      <c r="G96" s="1"/>
      <c r="H96" s="568"/>
      <c r="I96" s="4"/>
      <c r="J96" s="16"/>
      <c r="K96" s="29"/>
      <c r="L96" s="16"/>
      <c r="M96" s="177"/>
      <c r="N96" s="177"/>
      <c r="O96" s="177"/>
      <c r="P96" s="569"/>
      <c r="Q96" s="29"/>
      <c r="R96" s="16"/>
      <c r="S96" s="833"/>
      <c r="T96" s="16"/>
      <c r="U96" s="576"/>
      <c r="X96"/>
    </row>
    <row r="97" spans="1:24" s="11" customFormat="1" x14ac:dyDescent="0.25">
      <c r="A97" s="219"/>
      <c r="B97" s="49"/>
      <c r="C97" s="1"/>
      <c r="D97" s="1"/>
      <c r="E97" s="1"/>
      <c r="F97" s="1"/>
      <c r="G97" s="1"/>
      <c r="H97" s="568"/>
      <c r="I97" s="4"/>
      <c r="J97" s="16"/>
      <c r="K97" s="29"/>
      <c r="L97" s="16"/>
      <c r="M97" s="177"/>
      <c r="N97" s="177"/>
      <c r="O97" s="177"/>
      <c r="P97" s="569"/>
      <c r="Q97" s="29"/>
      <c r="R97" s="16"/>
      <c r="S97" s="833"/>
      <c r="T97" s="16"/>
      <c r="U97" s="576"/>
      <c r="X97"/>
    </row>
    <row r="98" spans="1:24" s="11" customFormat="1" x14ac:dyDescent="0.25">
      <c r="A98" s="219"/>
      <c r="B98" s="49"/>
      <c r="C98" s="1"/>
      <c r="D98" s="1"/>
      <c r="E98" s="1"/>
      <c r="F98" s="1"/>
      <c r="G98" s="1"/>
      <c r="H98" s="568"/>
      <c r="I98" s="4"/>
      <c r="J98" s="16"/>
      <c r="K98" s="29"/>
      <c r="L98" s="16"/>
      <c r="M98" s="177"/>
      <c r="N98" s="177"/>
      <c r="O98" s="177"/>
      <c r="P98" s="569"/>
      <c r="Q98" s="29"/>
      <c r="R98" s="16"/>
      <c r="S98" s="833"/>
      <c r="T98" s="16"/>
      <c r="U98" s="576"/>
      <c r="X98"/>
    </row>
    <row r="99" spans="1:24" s="11" customFormat="1" x14ac:dyDescent="0.25">
      <c r="A99" s="219"/>
      <c r="B99" s="49"/>
      <c r="C99" s="1"/>
      <c r="D99" s="1"/>
      <c r="E99" s="1"/>
      <c r="F99" s="1"/>
      <c r="G99" s="1"/>
      <c r="H99" s="568"/>
      <c r="I99" s="4"/>
      <c r="J99" s="16"/>
      <c r="K99" s="29"/>
      <c r="L99" s="16"/>
      <c r="M99" s="177"/>
      <c r="N99" s="177"/>
      <c r="O99" s="177"/>
      <c r="P99" s="569"/>
      <c r="Q99" s="29"/>
      <c r="R99" s="16"/>
      <c r="S99" s="833"/>
      <c r="T99" s="16"/>
      <c r="U99" s="576"/>
      <c r="X99"/>
    </row>
    <row r="100" spans="1:24" s="11" customFormat="1" x14ac:dyDescent="0.25">
      <c r="A100" s="219"/>
      <c r="B100" s="49"/>
      <c r="C100" s="1"/>
      <c r="D100" s="1"/>
      <c r="E100" s="1"/>
      <c r="F100" s="1"/>
      <c r="G100" s="1"/>
      <c r="H100" s="568"/>
      <c r="I100" s="4"/>
      <c r="J100" s="16"/>
      <c r="K100" s="29"/>
      <c r="L100" s="16"/>
      <c r="M100" s="177"/>
      <c r="N100" s="177"/>
      <c r="O100" s="177"/>
      <c r="P100" s="569"/>
      <c r="Q100" s="29"/>
      <c r="R100" s="16"/>
      <c r="S100" s="833"/>
      <c r="T100" s="16"/>
      <c r="U100" s="576"/>
      <c r="X100"/>
    </row>
    <row r="101" spans="1:24" s="11" customFormat="1" x14ac:dyDescent="0.25">
      <c r="A101" s="219"/>
      <c r="B101" s="49"/>
      <c r="C101" s="1"/>
      <c r="D101" s="1"/>
      <c r="E101" s="1"/>
      <c r="F101" s="1"/>
      <c r="G101" s="1"/>
      <c r="H101" s="568"/>
      <c r="I101" s="4"/>
      <c r="J101" s="16"/>
      <c r="K101" s="29"/>
      <c r="L101" s="16"/>
      <c r="M101" s="177"/>
      <c r="N101" s="177"/>
      <c r="O101" s="177"/>
      <c r="P101" s="569"/>
      <c r="Q101" s="29"/>
      <c r="R101" s="16"/>
      <c r="S101" s="833"/>
      <c r="T101" s="16"/>
      <c r="U101" s="576"/>
      <c r="X101"/>
    </row>
    <row r="102" spans="1:24" s="11" customFormat="1" x14ac:dyDescent="0.25">
      <c r="A102" s="219"/>
      <c r="B102" s="49"/>
      <c r="C102" s="1"/>
      <c r="D102" s="1"/>
      <c r="E102" s="1"/>
      <c r="F102" s="1"/>
      <c r="G102" s="1"/>
      <c r="H102" s="568"/>
      <c r="I102" s="4"/>
      <c r="J102" s="16"/>
      <c r="K102" s="29"/>
      <c r="L102" s="16"/>
      <c r="M102" s="177"/>
      <c r="N102" s="177"/>
      <c r="O102" s="177"/>
      <c r="P102" s="569"/>
      <c r="Q102" s="29"/>
      <c r="R102" s="16"/>
      <c r="S102" s="833"/>
      <c r="T102" s="16"/>
      <c r="U102" s="576"/>
      <c r="X102"/>
    </row>
    <row r="103" spans="1:24" s="11" customFormat="1" x14ac:dyDescent="0.25">
      <c r="A103" s="219"/>
      <c r="B103" s="49"/>
      <c r="C103" s="1"/>
      <c r="D103" s="1"/>
      <c r="E103" s="1"/>
      <c r="F103" s="1"/>
      <c r="G103" s="1"/>
      <c r="H103" s="568"/>
      <c r="I103" s="4"/>
      <c r="J103" s="16"/>
      <c r="K103" s="29"/>
      <c r="L103" s="16"/>
      <c r="M103" s="177"/>
      <c r="N103" s="177"/>
      <c r="O103" s="177"/>
      <c r="P103" s="569"/>
      <c r="Q103" s="29"/>
      <c r="R103" s="16"/>
      <c r="S103" s="833"/>
      <c r="T103" s="16"/>
      <c r="U103" s="576"/>
      <c r="X103"/>
    </row>
    <row r="104" spans="1:24" s="11" customFormat="1" x14ac:dyDescent="0.25">
      <c r="A104" s="219"/>
      <c r="B104" s="49"/>
      <c r="C104" s="1"/>
      <c r="D104" s="1"/>
      <c r="E104" s="1"/>
      <c r="F104" s="1"/>
      <c r="G104" s="1"/>
      <c r="H104" s="568"/>
      <c r="I104" s="4"/>
      <c r="J104" s="16"/>
      <c r="K104" s="29"/>
      <c r="L104" s="16"/>
      <c r="M104" s="177"/>
      <c r="N104" s="177"/>
      <c r="O104" s="177"/>
      <c r="P104" s="569"/>
      <c r="Q104" s="29"/>
      <c r="R104" s="16"/>
      <c r="S104" s="833"/>
      <c r="T104" s="16"/>
      <c r="U104" s="576"/>
      <c r="X104"/>
    </row>
    <row r="105" spans="1:24" s="11" customFormat="1" x14ac:dyDescent="0.25">
      <c r="A105" s="219"/>
      <c r="B105" s="49"/>
      <c r="C105" s="1"/>
      <c r="D105" s="1"/>
      <c r="E105" s="1"/>
      <c r="F105" s="1"/>
      <c r="G105" s="1"/>
      <c r="H105" s="568"/>
      <c r="I105" s="4"/>
      <c r="J105" s="16"/>
      <c r="K105" s="29"/>
      <c r="L105" s="16"/>
      <c r="M105" s="177"/>
      <c r="N105" s="177"/>
      <c r="O105" s="177"/>
      <c r="P105" s="569"/>
      <c r="Q105" s="29"/>
      <c r="R105" s="16"/>
      <c r="S105" s="833"/>
      <c r="T105" s="16"/>
      <c r="U105" s="576"/>
      <c r="X105"/>
    </row>
    <row r="106" spans="1:24" s="11" customFormat="1" x14ac:dyDescent="0.25">
      <c r="A106" s="219"/>
      <c r="B106" s="49"/>
      <c r="C106" s="1"/>
      <c r="D106" s="1"/>
      <c r="E106" s="1"/>
      <c r="F106" s="1"/>
      <c r="G106" s="1"/>
      <c r="H106" s="568"/>
      <c r="I106" s="4"/>
      <c r="J106" s="16"/>
      <c r="K106" s="29"/>
      <c r="L106" s="16"/>
      <c r="M106" s="177"/>
      <c r="N106" s="177"/>
      <c r="O106" s="177"/>
      <c r="P106" s="569"/>
      <c r="Q106" s="29"/>
      <c r="R106" s="16"/>
      <c r="S106" s="833"/>
      <c r="T106" s="16"/>
      <c r="U106" s="576"/>
      <c r="X106"/>
    </row>
    <row r="107" spans="1:24" s="11" customFormat="1" x14ac:dyDescent="0.25">
      <c r="A107" s="219"/>
      <c r="B107" s="49"/>
      <c r="C107" s="1"/>
      <c r="D107" s="1"/>
      <c r="E107" s="1"/>
      <c r="F107" s="1"/>
      <c r="G107" s="1"/>
      <c r="H107" s="568"/>
      <c r="I107" s="4"/>
      <c r="J107" s="16"/>
      <c r="K107" s="29"/>
      <c r="L107" s="16"/>
      <c r="M107" s="177"/>
      <c r="N107" s="177"/>
      <c r="O107" s="177"/>
      <c r="P107" s="569"/>
      <c r="Q107" s="29"/>
      <c r="R107" s="16"/>
      <c r="S107" s="833"/>
      <c r="T107" s="16"/>
      <c r="U107" s="576"/>
      <c r="X107"/>
    </row>
    <row r="108" spans="1:24" s="11" customFormat="1" x14ac:dyDescent="0.25">
      <c r="A108" s="219"/>
      <c r="B108" s="49"/>
      <c r="C108" s="1"/>
      <c r="D108" s="1"/>
      <c r="E108" s="1"/>
      <c r="F108" s="1"/>
      <c r="G108" s="1"/>
      <c r="H108" s="568"/>
      <c r="I108" s="4"/>
      <c r="J108" s="16"/>
      <c r="K108" s="29"/>
      <c r="L108" s="16"/>
      <c r="M108" s="177"/>
      <c r="N108" s="177"/>
      <c r="O108" s="177"/>
      <c r="P108" s="569"/>
      <c r="Q108" s="29"/>
      <c r="R108" s="16"/>
      <c r="S108" s="833"/>
      <c r="T108" s="16"/>
      <c r="U108" s="576"/>
      <c r="X108"/>
    </row>
    <row r="109" spans="1:24" s="11" customFormat="1" x14ac:dyDescent="0.25">
      <c r="A109" s="219"/>
      <c r="B109" s="49"/>
      <c r="C109" s="1"/>
      <c r="D109" s="1"/>
      <c r="E109" s="1"/>
      <c r="F109" s="1"/>
      <c r="G109" s="1"/>
      <c r="H109" s="568"/>
      <c r="I109" s="4"/>
      <c r="J109" s="16"/>
      <c r="K109" s="29"/>
      <c r="L109" s="16"/>
      <c r="M109" s="177"/>
      <c r="N109" s="177"/>
      <c r="O109" s="177"/>
      <c r="P109" s="569"/>
      <c r="Q109" s="29"/>
      <c r="R109" s="16"/>
      <c r="S109" s="833"/>
      <c r="T109" s="16"/>
      <c r="U109" s="576"/>
      <c r="X109"/>
    </row>
    <row r="110" spans="1:24" s="11" customFormat="1" x14ac:dyDescent="0.25">
      <c r="A110" s="219"/>
      <c r="B110" s="49"/>
      <c r="C110" s="1"/>
      <c r="D110" s="1"/>
      <c r="E110" s="1"/>
      <c r="F110" s="1"/>
      <c r="G110" s="1"/>
      <c r="H110" s="568"/>
      <c r="I110" s="4"/>
      <c r="J110" s="16"/>
      <c r="K110" s="29"/>
      <c r="L110" s="16"/>
      <c r="M110" s="177"/>
      <c r="N110" s="177"/>
      <c r="O110" s="177"/>
      <c r="P110" s="569"/>
      <c r="Q110" s="29"/>
      <c r="R110" s="16"/>
      <c r="S110" s="833"/>
      <c r="T110" s="16"/>
      <c r="U110" s="576"/>
      <c r="X110"/>
    </row>
    <row r="111" spans="1:24" s="11" customFormat="1" x14ac:dyDescent="0.25">
      <c r="A111" s="219"/>
      <c r="B111" s="49"/>
      <c r="C111" s="1"/>
      <c r="D111" s="1"/>
      <c r="E111" s="1"/>
      <c r="F111" s="1"/>
      <c r="G111" s="1"/>
      <c r="H111" s="568"/>
      <c r="I111" s="4"/>
      <c r="J111" s="16"/>
      <c r="K111" s="29"/>
      <c r="L111" s="16"/>
      <c r="M111" s="177"/>
      <c r="N111" s="177"/>
      <c r="O111" s="177"/>
      <c r="P111" s="569"/>
      <c r="Q111" s="29"/>
      <c r="R111" s="16"/>
      <c r="S111" s="833"/>
      <c r="T111" s="16"/>
      <c r="U111" s="576"/>
      <c r="X111"/>
    </row>
    <row r="112" spans="1:24" s="11" customFormat="1" x14ac:dyDescent="0.25">
      <c r="A112" s="219"/>
      <c r="B112" s="49"/>
      <c r="C112" s="1"/>
      <c r="D112" s="1"/>
      <c r="E112" s="1"/>
      <c r="F112" s="1"/>
      <c r="G112" s="1"/>
      <c r="H112" s="568"/>
      <c r="I112" s="4"/>
      <c r="J112" s="16"/>
      <c r="K112" s="29"/>
      <c r="L112" s="16"/>
      <c r="M112" s="177"/>
      <c r="N112" s="177"/>
      <c r="O112" s="177"/>
      <c r="P112" s="569"/>
      <c r="Q112" s="29"/>
      <c r="R112" s="16"/>
      <c r="S112" s="833"/>
      <c r="T112" s="16"/>
      <c r="U112" s="576"/>
      <c r="X112"/>
    </row>
    <row r="113" spans="1:24" s="11" customFormat="1" x14ac:dyDescent="0.25">
      <c r="A113" s="219"/>
      <c r="B113" s="49"/>
      <c r="C113" s="1"/>
      <c r="D113" s="1"/>
      <c r="E113" s="1"/>
      <c r="F113" s="1"/>
      <c r="G113" s="1"/>
      <c r="H113" s="568"/>
      <c r="I113" s="4"/>
      <c r="J113" s="16"/>
      <c r="K113" s="29"/>
      <c r="L113" s="16"/>
      <c r="M113" s="177"/>
      <c r="N113" s="177"/>
      <c r="O113" s="177"/>
      <c r="P113" s="569"/>
      <c r="Q113" s="29"/>
      <c r="R113" s="16"/>
      <c r="S113" s="833"/>
      <c r="T113" s="16"/>
      <c r="U113" s="576"/>
      <c r="X113"/>
    </row>
    <row r="114" spans="1:24" s="11" customFormat="1" x14ac:dyDescent="0.25">
      <c r="A114" s="219"/>
      <c r="B114" s="49"/>
      <c r="C114" s="1"/>
      <c r="D114" s="1"/>
      <c r="E114" s="1"/>
      <c r="F114" s="1"/>
      <c r="G114" s="1"/>
      <c r="H114" s="568"/>
      <c r="I114" s="4"/>
      <c r="J114" s="16"/>
      <c r="K114" s="29"/>
      <c r="L114" s="16"/>
      <c r="M114" s="177"/>
      <c r="N114" s="177"/>
      <c r="O114" s="177"/>
      <c r="P114" s="569"/>
      <c r="Q114" s="29"/>
      <c r="R114" s="16"/>
      <c r="S114" s="833"/>
      <c r="T114" s="16"/>
      <c r="U114" s="576"/>
      <c r="X114"/>
    </row>
    <row r="115" spans="1:24" s="11" customFormat="1" x14ac:dyDescent="0.25">
      <c r="A115" s="219"/>
      <c r="B115" s="49"/>
      <c r="C115" s="1"/>
      <c r="D115" s="1"/>
      <c r="E115" s="1"/>
      <c r="F115" s="1"/>
      <c r="G115" s="1"/>
      <c r="H115" s="568"/>
      <c r="I115" s="4"/>
      <c r="J115" s="16"/>
      <c r="K115" s="29"/>
      <c r="L115" s="16"/>
      <c r="M115" s="177"/>
      <c r="N115" s="177"/>
      <c r="O115" s="177"/>
      <c r="P115" s="569"/>
      <c r="Q115" s="29"/>
      <c r="R115" s="16"/>
      <c r="S115" s="833"/>
      <c r="T115" s="16"/>
      <c r="U115" s="576"/>
      <c r="X115"/>
    </row>
    <row r="116" spans="1:24" s="11" customFormat="1" x14ac:dyDescent="0.25">
      <c r="A116" s="219"/>
      <c r="B116" s="49"/>
      <c r="C116" s="1"/>
      <c r="D116" s="1"/>
      <c r="E116" s="1"/>
      <c r="F116" s="1"/>
      <c r="G116" s="1"/>
      <c r="H116" s="568"/>
      <c r="I116" s="4"/>
      <c r="J116" s="16"/>
      <c r="K116" s="29"/>
      <c r="L116" s="16"/>
      <c r="M116" s="177"/>
      <c r="N116" s="177"/>
      <c r="O116" s="177"/>
      <c r="P116" s="569"/>
      <c r="Q116" s="29"/>
      <c r="R116" s="16"/>
      <c r="S116" s="833"/>
      <c r="T116" s="16"/>
      <c r="U116" s="576"/>
      <c r="X116"/>
    </row>
    <row r="117" spans="1:24" s="11" customFormat="1" x14ac:dyDescent="0.25">
      <c r="A117" s="219"/>
      <c r="B117" s="49"/>
      <c r="C117" s="1"/>
      <c r="D117" s="1"/>
      <c r="E117" s="1"/>
      <c r="F117" s="1"/>
      <c r="G117" s="1"/>
      <c r="H117" s="568"/>
      <c r="I117" s="4"/>
      <c r="J117" s="16"/>
      <c r="K117" s="29"/>
      <c r="L117" s="16"/>
      <c r="M117" s="177"/>
      <c r="N117" s="177"/>
      <c r="O117" s="177"/>
      <c r="P117" s="569"/>
      <c r="Q117" s="29"/>
      <c r="R117" s="16"/>
      <c r="S117" s="833"/>
      <c r="T117" s="16"/>
      <c r="U117" s="576"/>
      <c r="X117"/>
    </row>
    <row r="118" spans="1:24" s="11" customFormat="1" x14ac:dyDescent="0.25">
      <c r="A118" s="219"/>
      <c r="B118" s="49"/>
      <c r="C118" s="1"/>
      <c r="D118" s="1"/>
      <c r="E118" s="1"/>
      <c r="F118" s="1"/>
      <c r="G118" s="1"/>
      <c r="H118" s="568"/>
      <c r="I118" s="4"/>
      <c r="J118" s="16"/>
      <c r="K118" s="29"/>
      <c r="L118" s="16"/>
      <c r="M118" s="177"/>
      <c r="N118" s="177"/>
      <c r="O118" s="177"/>
      <c r="P118" s="569"/>
      <c r="Q118" s="29"/>
      <c r="R118" s="16"/>
      <c r="S118" s="833"/>
      <c r="T118" s="16"/>
      <c r="U118" s="576"/>
      <c r="X118"/>
    </row>
    <row r="119" spans="1:24" s="11" customFormat="1" x14ac:dyDescent="0.25">
      <c r="A119" s="219"/>
      <c r="B119" s="49"/>
      <c r="C119" s="1"/>
      <c r="D119" s="1"/>
      <c r="E119" s="1"/>
      <c r="F119" s="1"/>
      <c r="G119" s="1"/>
      <c r="H119" s="568"/>
      <c r="I119" s="4"/>
      <c r="J119" s="16"/>
      <c r="K119" s="29"/>
      <c r="L119" s="16"/>
      <c r="M119" s="177"/>
      <c r="N119" s="177"/>
      <c r="O119" s="177"/>
      <c r="P119" s="569"/>
      <c r="Q119" s="29"/>
      <c r="R119" s="16"/>
      <c r="S119" s="833"/>
      <c r="T119" s="16"/>
      <c r="U119" s="576"/>
      <c r="X119"/>
    </row>
    <row r="120" spans="1:24" s="11" customFormat="1" x14ac:dyDescent="0.25">
      <c r="A120" s="219"/>
      <c r="B120" s="49"/>
      <c r="C120" s="1"/>
      <c r="D120" s="1"/>
      <c r="E120" s="1"/>
      <c r="F120" s="1"/>
      <c r="G120" s="1"/>
      <c r="H120" s="568"/>
      <c r="I120" s="4"/>
      <c r="J120" s="16"/>
      <c r="K120" s="29"/>
      <c r="L120" s="16"/>
      <c r="M120" s="177"/>
      <c r="N120" s="177"/>
      <c r="O120" s="177"/>
      <c r="P120" s="569"/>
      <c r="Q120" s="29"/>
      <c r="R120" s="16"/>
      <c r="S120" s="833"/>
      <c r="T120" s="16"/>
      <c r="U120" s="576"/>
      <c r="X120"/>
    </row>
    <row r="121" spans="1:24" s="11" customFormat="1" x14ac:dyDescent="0.25">
      <c r="A121" s="219"/>
      <c r="B121" s="49"/>
      <c r="C121" s="1"/>
      <c r="D121" s="1"/>
      <c r="E121" s="1"/>
      <c r="F121" s="1"/>
      <c r="G121" s="1"/>
      <c r="H121" s="568"/>
      <c r="I121" s="4"/>
      <c r="J121" s="16"/>
      <c r="K121" s="29"/>
      <c r="L121" s="16"/>
      <c r="M121" s="177"/>
      <c r="N121" s="177"/>
      <c r="O121" s="177"/>
      <c r="P121" s="569"/>
      <c r="Q121" s="29"/>
      <c r="R121" s="16"/>
      <c r="S121" s="833"/>
      <c r="T121" s="16"/>
      <c r="U121" s="576"/>
      <c r="X121"/>
    </row>
    <row r="122" spans="1:24" s="11" customFormat="1" x14ac:dyDescent="0.25">
      <c r="A122" s="219"/>
      <c r="B122" s="49"/>
      <c r="C122" s="1"/>
      <c r="D122" s="1"/>
      <c r="E122" s="1"/>
      <c r="F122" s="1"/>
      <c r="G122" s="1"/>
      <c r="H122" s="568"/>
      <c r="I122" s="4"/>
      <c r="J122" s="16"/>
      <c r="K122" s="29"/>
      <c r="L122" s="16"/>
      <c r="M122" s="177"/>
      <c r="N122" s="177"/>
      <c r="O122" s="177"/>
      <c r="P122" s="569"/>
      <c r="Q122" s="29"/>
      <c r="R122" s="16"/>
      <c r="S122" s="833"/>
      <c r="T122" s="16"/>
      <c r="U122" s="576"/>
      <c r="X122"/>
    </row>
    <row r="123" spans="1:24" s="11" customFormat="1" x14ac:dyDescent="0.25">
      <c r="A123" s="219"/>
      <c r="B123" s="49"/>
      <c r="C123" s="1"/>
      <c r="D123" s="1"/>
      <c r="E123" s="1"/>
      <c r="F123" s="1"/>
      <c r="G123" s="1"/>
      <c r="H123" s="568"/>
      <c r="I123" s="4"/>
      <c r="J123" s="16"/>
      <c r="K123" s="29"/>
      <c r="L123" s="16"/>
      <c r="M123" s="177"/>
      <c r="N123" s="177"/>
      <c r="O123" s="177"/>
      <c r="P123" s="569"/>
      <c r="Q123" s="29"/>
      <c r="R123" s="16"/>
      <c r="S123" s="833"/>
      <c r="T123" s="16"/>
      <c r="U123" s="576"/>
      <c r="X123"/>
    </row>
    <row r="124" spans="1:24" s="11" customFormat="1" x14ac:dyDescent="0.25">
      <c r="A124" s="219"/>
      <c r="B124" s="49"/>
      <c r="C124" s="1"/>
      <c r="D124" s="1"/>
      <c r="E124" s="1"/>
      <c r="F124" s="1"/>
      <c r="G124" s="1"/>
      <c r="H124" s="568"/>
      <c r="I124" s="4"/>
      <c r="J124" s="16"/>
      <c r="K124" s="29"/>
      <c r="L124" s="16"/>
      <c r="M124" s="177"/>
      <c r="N124" s="177"/>
      <c r="O124" s="177"/>
      <c r="P124" s="569"/>
      <c r="Q124" s="29"/>
      <c r="R124" s="16"/>
      <c r="S124" s="833"/>
      <c r="T124" s="16"/>
      <c r="U124" s="576"/>
      <c r="X124"/>
    </row>
    <row r="125" spans="1:24" s="11" customFormat="1" x14ac:dyDescent="0.25">
      <c r="A125" s="219"/>
      <c r="B125" s="49"/>
      <c r="C125" s="1"/>
      <c r="D125" s="1"/>
      <c r="E125" s="1"/>
      <c r="F125" s="1"/>
      <c r="G125" s="1"/>
      <c r="H125" s="568"/>
      <c r="I125" s="4"/>
      <c r="J125" s="16"/>
      <c r="K125" s="29"/>
      <c r="L125" s="16"/>
      <c r="M125" s="177"/>
      <c r="N125" s="177"/>
      <c r="O125" s="177"/>
      <c r="P125" s="569"/>
      <c r="Q125" s="29"/>
      <c r="R125" s="16"/>
      <c r="S125" s="833"/>
      <c r="T125" s="16"/>
      <c r="U125" s="576"/>
      <c r="X125"/>
    </row>
    <row r="126" spans="1:24" s="11" customFormat="1" x14ac:dyDescent="0.25">
      <c r="A126" s="219"/>
      <c r="B126" s="49"/>
      <c r="C126" s="1"/>
      <c r="D126" s="1"/>
      <c r="E126" s="1"/>
      <c r="F126" s="1"/>
      <c r="G126" s="1"/>
      <c r="H126" s="568"/>
      <c r="I126" s="4"/>
      <c r="J126" s="16"/>
      <c r="K126" s="29"/>
      <c r="L126" s="16"/>
      <c r="M126" s="177"/>
      <c r="N126" s="177"/>
      <c r="O126" s="177"/>
      <c r="P126" s="569"/>
      <c r="Q126" s="29"/>
      <c r="R126" s="16"/>
      <c r="S126" s="833"/>
      <c r="T126" s="16"/>
      <c r="U126" s="576"/>
      <c r="X126"/>
    </row>
    <row r="127" spans="1:24" s="11" customFormat="1" x14ac:dyDescent="0.25">
      <c r="A127" s="219"/>
      <c r="B127" s="49"/>
      <c r="C127" s="1"/>
      <c r="D127" s="1"/>
      <c r="E127" s="1"/>
      <c r="F127" s="1"/>
      <c r="G127" s="1"/>
      <c r="H127" s="568"/>
      <c r="I127" s="4"/>
      <c r="J127" s="16"/>
      <c r="K127" s="29"/>
      <c r="L127" s="16"/>
      <c r="M127" s="177"/>
      <c r="N127" s="177"/>
      <c r="O127" s="177"/>
      <c r="P127" s="569"/>
      <c r="Q127" s="29"/>
      <c r="R127" s="16"/>
      <c r="S127" s="833"/>
      <c r="T127" s="16"/>
      <c r="U127" s="576"/>
      <c r="X127"/>
    </row>
    <row r="128" spans="1:24" s="11" customFormat="1" x14ac:dyDescent="0.25">
      <c r="A128" s="219"/>
      <c r="B128" s="49"/>
      <c r="C128" s="1"/>
      <c r="D128" s="1"/>
      <c r="E128" s="1"/>
      <c r="F128" s="1"/>
      <c r="G128" s="1"/>
      <c r="H128" s="568"/>
      <c r="I128" s="4"/>
      <c r="J128" s="16"/>
      <c r="K128" s="29"/>
      <c r="L128" s="16"/>
      <c r="M128" s="177"/>
      <c r="N128" s="177"/>
      <c r="O128" s="177"/>
      <c r="P128" s="569"/>
      <c r="Q128" s="29"/>
      <c r="R128" s="16"/>
      <c r="S128" s="833"/>
      <c r="T128" s="16"/>
      <c r="U128" s="576"/>
      <c r="X128"/>
    </row>
    <row r="129" spans="1:24" s="11" customFormat="1" x14ac:dyDescent="0.25">
      <c r="A129" s="219"/>
      <c r="B129" s="49"/>
      <c r="C129" s="1"/>
      <c r="D129" s="1"/>
      <c r="E129" s="1"/>
      <c r="F129" s="1"/>
      <c r="G129" s="1"/>
      <c r="H129" s="568"/>
      <c r="I129" s="4"/>
      <c r="J129" s="16"/>
      <c r="K129" s="29"/>
      <c r="L129" s="16"/>
      <c r="M129" s="177"/>
      <c r="N129" s="177"/>
      <c r="O129" s="177"/>
      <c r="P129" s="569"/>
      <c r="Q129" s="29"/>
      <c r="R129" s="16"/>
      <c r="S129" s="833"/>
      <c r="T129" s="16"/>
      <c r="U129" s="576"/>
      <c r="X129"/>
    </row>
    <row r="130" spans="1:24" s="11" customFormat="1" x14ac:dyDescent="0.25">
      <c r="A130" s="219"/>
      <c r="B130" s="49"/>
      <c r="C130" s="1"/>
      <c r="D130" s="1"/>
      <c r="E130" s="1"/>
      <c r="F130" s="1"/>
      <c r="G130" s="1"/>
      <c r="H130" s="568"/>
      <c r="I130" s="4"/>
      <c r="J130" s="16"/>
      <c r="K130" s="29"/>
      <c r="L130" s="16"/>
      <c r="M130" s="177"/>
      <c r="N130" s="177"/>
      <c r="O130" s="177"/>
      <c r="P130" s="569"/>
      <c r="Q130" s="29"/>
      <c r="R130" s="16"/>
      <c r="S130" s="833"/>
      <c r="T130" s="16"/>
      <c r="U130" s="576"/>
      <c r="X130"/>
    </row>
    <row r="131" spans="1:24" s="11" customFormat="1" x14ac:dyDescent="0.25">
      <c r="A131" s="219"/>
      <c r="B131" s="49"/>
      <c r="C131" s="1"/>
      <c r="D131" s="1"/>
      <c r="E131" s="1"/>
      <c r="F131" s="1"/>
      <c r="G131" s="1"/>
      <c r="H131" s="568"/>
      <c r="I131" s="4"/>
      <c r="J131" s="16"/>
      <c r="K131" s="29"/>
      <c r="L131" s="16"/>
      <c r="M131" s="177"/>
      <c r="N131" s="177"/>
      <c r="O131" s="177"/>
      <c r="P131" s="569"/>
      <c r="Q131" s="29"/>
      <c r="R131" s="16"/>
      <c r="S131" s="833"/>
      <c r="T131" s="16"/>
      <c r="U131" s="576"/>
      <c r="X131"/>
    </row>
    <row r="132" spans="1:24" s="11" customFormat="1" x14ac:dyDescent="0.25">
      <c r="A132" s="219"/>
      <c r="B132" s="49"/>
      <c r="C132" s="1"/>
      <c r="D132" s="1"/>
      <c r="E132" s="1"/>
      <c r="F132" s="1"/>
      <c r="G132" s="1"/>
      <c r="H132" s="568"/>
      <c r="I132" s="4"/>
      <c r="J132" s="16"/>
      <c r="K132" s="29"/>
      <c r="L132" s="16"/>
      <c r="M132" s="177"/>
      <c r="N132" s="177"/>
      <c r="O132" s="177"/>
      <c r="P132" s="569"/>
      <c r="Q132" s="29"/>
      <c r="R132" s="16"/>
      <c r="S132" s="833"/>
      <c r="T132" s="16"/>
      <c r="U132" s="576"/>
      <c r="X132"/>
    </row>
    <row r="133" spans="1:24" s="11" customFormat="1" x14ac:dyDescent="0.25">
      <c r="A133" s="219"/>
      <c r="B133" s="49"/>
      <c r="C133" s="1"/>
      <c r="D133" s="1"/>
      <c r="E133" s="1"/>
      <c r="F133" s="1"/>
      <c r="G133" s="1"/>
      <c r="H133" s="568"/>
      <c r="I133" s="4"/>
      <c r="J133" s="16"/>
      <c r="K133" s="29"/>
      <c r="L133" s="16"/>
      <c r="M133" s="177"/>
      <c r="N133" s="177"/>
      <c r="O133" s="177"/>
      <c r="P133" s="569"/>
      <c r="Q133" s="29"/>
      <c r="R133" s="16"/>
      <c r="S133" s="833"/>
      <c r="T133" s="16"/>
      <c r="U133" s="576"/>
      <c r="X133"/>
    </row>
    <row r="134" spans="1:24" s="11" customFormat="1" x14ac:dyDescent="0.25">
      <c r="A134" s="219"/>
      <c r="B134" s="49"/>
      <c r="C134" s="1"/>
      <c r="D134" s="1"/>
      <c r="E134" s="1"/>
      <c r="F134" s="1"/>
      <c r="G134" s="1"/>
      <c r="H134" s="568"/>
      <c r="I134" s="4"/>
      <c r="J134" s="16"/>
      <c r="K134" s="29"/>
      <c r="L134" s="16"/>
      <c r="M134" s="177"/>
      <c r="N134" s="177"/>
      <c r="O134" s="177"/>
      <c r="P134" s="569"/>
      <c r="Q134" s="29"/>
      <c r="R134" s="16"/>
      <c r="S134" s="833"/>
      <c r="T134" s="16"/>
      <c r="U134" s="576"/>
      <c r="X134"/>
    </row>
    <row r="135" spans="1:24" s="11" customFormat="1" x14ac:dyDescent="0.25">
      <c r="A135" s="219"/>
      <c r="B135" s="49"/>
      <c r="C135" s="1"/>
      <c r="D135" s="1"/>
      <c r="E135" s="1"/>
      <c r="F135" s="1"/>
      <c r="G135" s="1"/>
      <c r="H135" s="568"/>
      <c r="I135" s="4"/>
      <c r="J135" s="16"/>
      <c r="K135" s="29"/>
      <c r="L135" s="16"/>
      <c r="M135" s="177"/>
      <c r="N135" s="177"/>
      <c r="O135" s="177"/>
      <c r="P135" s="569"/>
      <c r="Q135" s="29"/>
      <c r="R135" s="16"/>
      <c r="S135" s="833"/>
      <c r="T135" s="16"/>
      <c r="U135" s="576"/>
      <c r="X135"/>
    </row>
    <row r="136" spans="1:24" s="11" customFormat="1" x14ac:dyDescent="0.25">
      <c r="A136" s="219"/>
      <c r="B136" s="49"/>
      <c r="C136" s="1"/>
      <c r="D136" s="1"/>
      <c r="E136" s="1"/>
      <c r="F136" s="1"/>
      <c r="G136" s="1"/>
      <c r="H136" s="568"/>
      <c r="I136" s="4"/>
      <c r="J136" s="16"/>
      <c r="K136" s="29"/>
      <c r="L136" s="16"/>
      <c r="M136" s="177"/>
      <c r="N136" s="177"/>
      <c r="O136" s="177"/>
      <c r="P136" s="569"/>
      <c r="Q136" s="29"/>
      <c r="R136" s="16"/>
      <c r="S136" s="833"/>
      <c r="T136" s="16"/>
      <c r="U136" s="576"/>
      <c r="X136"/>
    </row>
    <row r="137" spans="1:24" s="11" customFormat="1" x14ac:dyDescent="0.25">
      <c r="A137" s="219"/>
      <c r="B137" s="49"/>
      <c r="C137" s="1"/>
      <c r="D137" s="1"/>
      <c r="E137" s="1"/>
      <c r="F137" s="1"/>
      <c r="G137" s="1"/>
      <c r="H137" s="568"/>
      <c r="I137" s="4"/>
      <c r="J137" s="16"/>
      <c r="K137" s="29"/>
      <c r="L137" s="16"/>
      <c r="M137" s="177"/>
      <c r="N137" s="177"/>
      <c r="O137" s="177"/>
      <c r="P137" s="569"/>
      <c r="Q137" s="29"/>
      <c r="R137" s="16"/>
      <c r="S137" s="833"/>
      <c r="T137" s="16"/>
      <c r="U137" s="576"/>
      <c r="X137"/>
    </row>
    <row r="138" spans="1:24" s="11" customFormat="1" x14ac:dyDescent="0.25">
      <c r="A138" s="219"/>
      <c r="B138" s="49"/>
      <c r="C138" s="1"/>
      <c r="D138" s="1"/>
      <c r="E138" s="1"/>
      <c r="F138" s="1"/>
      <c r="G138" s="1"/>
      <c r="H138" s="568"/>
      <c r="I138" s="4"/>
      <c r="J138" s="16"/>
      <c r="K138" s="29"/>
      <c r="L138" s="16"/>
      <c r="M138" s="177"/>
      <c r="N138" s="177"/>
      <c r="O138" s="177"/>
      <c r="P138" s="569"/>
      <c r="Q138" s="29"/>
      <c r="R138" s="16"/>
      <c r="S138" s="833"/>
      <c r="T138" s="16"/>
      <c r="U138" s="576"/>
      <c r="X138"/>
    </row>
    <row r="139" spans="1:24" s="11" customFormat="1" x14ac:dyDescent="0.25">
      <c r="A139" s="219"/>
      <c r="B139" s="49"/>
      <c r="C139" s="1"/>
      <c r="D139" s="1"/>
      <c r="E139" s="1"/>
      <c r="F139" s="1"/>
      <c r="G139" s="1"/>
      <c r="H139" s="568"/>
      <c r="I139" s="4"/>
      <c r="J139" s="16"/>
      <c r="K139" s="29"/>
      <c r="L139" s="16"/>
      <c r="M139" s="177"/>
      <c r="N139" s="177"/>
      <c r="O139" s="177"/>
      <c r="P139" s="569"/>
      <c r="Q139" s="29"/>
      <c r="R139" s="16"/>
      <c r="S139" s="833"/>
      <c r="T139" s="16"/>
      <c r="U139" s="576"/>
      <c r="X139"/>
    </row>
    <row r="140" spans="1:24" s="11" customFormat="1" x14ac:dyDescent="0.25">
      <c r="A140" s="219"/>
      <c r="B140" s="49"/>
      <c r="C140" s="1"/>
      <c r="D140" s="1"/>
      <c r="E140" s="1"/>
      <c r="F140" s="1"/>
      <c r="G140" s="1"/>
      <c r="H140" s="568"/>
      <c r="I140" s="4"/>
      <c r="J140" s="16"/>
      <c r="K140" s="29"/>
      <c r="L140" s="16"/>
      <c r="M140" s="177"/>
      <c r="N140" s="177"/>
      <c r="O140" s="177"/>
      <c r="P140" s="569"/>
      <c r="Q140" s="29"/>
      <c r="R140" s="16"/>
      <c r="S140" s="833"/>
      <c r="T140" s="16"/>
      <c r="U140" s="576"/>
      <c r="X140"/>
    </row>
    <row r="141" spans="1:24" s="11" customFormat="1" x14ac:dyDescent="0.25">
      <c r="A141" s="219"/>
      <c r="B141" s="49"/>
      <c r="C141" s="1"/>
      <c r="D141" s="1"/>
      <c r="E141" s="1"/>
      <c r="F141" s="1"/>
      <c r="G141" s="1"/>
      <c r="H141" s="568"/>
      <c r="I141" s="4"/>
      <c r="J141" s="16"/>
      <c r="K141" s="29"/>
      <c r="L141" s="16"/>
      <c r="M141" s="177"/>
      <c r="N141" s="177"/>
      <c r="O141" s="177"/>
      <c r="P141" s="569"/>
      <c r="Q141" s="29"/>
      <c r="R141" s="16"/>
      <c r="S141" s="833"/>
      <c r="T141" s="16"/>
      <c r="U141" s="576"/>
      <c r="X141"/>
    </row>
    <row r="142" spans="1:24" s="11" customFormat="1" x14ac:dyDescent="0.25">
      <c r="A142" s="219"/>
      <c r="B142" s="49"/>
      <c r="C142" s="1"/>
      <c r="D142" s="1"/>
      <c r="E142" s="1"/>
      <c r="F142" s="1"/>
      <c r="G142" s="1"/>
      <c r="H142" s="568"/>
      <c r="I142" s="4"/>
      <c r="J142" s="16"/>
      <c r="K142" s="29"/>
      <c r="L142" s="16"/>
      <c r="M142" s="177"/>
      <c r="N142" s="177"/>
      <c r="O142" s="177"/>
      <c r="P142" s="569"/>
      <c r="Q142" s="29"/>
      <c r="R142" s="16"/>
      <c r="S142" s="833"/>
      <c r="T142" s="16"/>
      <c r="U142" s="576"/>
      <c r="X142"/>
    </row>
    <row r="143" spans="1:24" s="11" customFormat="1" x14ac:dyDescent="0.25">
      <c r="A143" s="219"/>
      <c r="B143" s="49"/>
      <c r="C143" s="1"/>
      <c r="D143" s="1"/>
      <c r="E143" s="1"/>
      <c r="F143" s="1"/>
      <c r="G143" s="1"/>
      <c r="H143" s="568"/>
      <c r="I143" s="4"/>
      <c r="J143" s="16"/>
      <c r="K143" s="29"/>
      <c r="L143" s="16"/>
      <c r="M143" s="177"/>
      <c r="N143" s="177"/>
      <c r="O143" s="177"/>
      <c r="P143" s="569"/>
      <c r="Q143" s="29"/>
      <c r="R143" s="16"/>
      <c r="S143" s="833"/>
      <c r="T143" s="16"/>
      <c r="U143" s="576"/>
      <c r="X143"/>
    </row>
    <row r="144" spans="1:24" s="11" customFormat="1" x14ac:dyDescent="0.25">
      <c r="A144" s="219"/>
      <c r="B144" s="49"/>
      <c r="C144" s="1"/>
      <c r="D144" s="1"/>
      <c r="E144" s="1"/>
      <c r="F144" s="1"/>
      <c r="G144" s="1"/>
      <c r="H144" s="568"/>
      <c r="I144" s="4"/>
      <c r="J144" s="16"/>
      <c r="K144" s="29"/>
      <c r="L144" s="16"/>
      <c r="M144" s="177"/>
      <c r="N144" s="177"/>
      <c r="O144" s="177"/>
      <c r="P144" s="569"/>
      <c r="Q144" s="29"/>
      <c r="R144" s="16"/>
      <c r="S144" s="833"/>
      <c r="T144" s="16"/>
      <c r="U144" s="576"/>
      <c r="X144"/>
    </row>
    <row r="145" spans="1:24" s="11" customFormat="1" x14ac:dyDescent="0.25">
      <c r="A145" s="219"/>
      <c r="B145" s="49"/>
      <c r="C145" s="1"/>
      <c r="D145" s="1"/>
      <c r="E145" s="1"/>
      <c r="F145" s="1"/>
      <c r="G145" s="1"/>
      <c r="H145" s="568"/>
      <c r="I145" s="4"/>
      <c r="J145" s="16"/>
      <c r="K145" s="29"/>
      <c r="L145" s="16"/>
      <c r="M145" s="177"/>
      <c r="N145" s="177"/>
      <c r="O145" s="177"/>
      <c r="P145" s="569"/>
      <c r="Q145" s="29"/>
      <c r="R145" s="16"/>
      <c r="S145" s="833"/>
      <c r="T145" s="16"/>
      <c r="U145" s="576"/>
      <c r="X145"/>
    </row>
    <row r="146" spans="1:24" s="11" customFormat="1" x14ac:dyDescent="0.25">
      <c r="A146" s="219"/>
      <c r="B146" s="49"/>
      <c r="C146" s="1"/>
      <c r="D146" s="1"/>
      <c r="E146" s="1"/>
      <c r="F146" s="1"/>
      <c r="G146" s="1"/>
      <c r="H146" s="568"/>
      <c r="I146" s="4"/>
      <c r="J146" s="16"/>
      <c r="K146" s="29"/>
      <c r="L146" s="16"/>
      <c r="M146" s="177"/>
      <c r="N146" s="177"/>
      <c r="O146" s="177"/>
      <c r="P146" s="569"/>
      <c r="Q146" s="29"/>
      <c r="R146" s="16"/>
      <c r="S146" s="833"/>
      <c r="T146" s="16"/>
      <c r="U146" s="576"/>
      <c r="X146"/>
    </row>
    <row r="147" spans="1:24" s="11" customFormat="1" x14ac:dyDescent="0.25">
      <c r="A147" s="219"/>
      <c r="B147" s="49"/>
      <c r="C147" s="1"/>
      <c r="D147" s="1"/>
      <c r="E147" s="1"/>
      <c r="F147" s="1"/>
      <c r="G147" s="1"/>
      <c r="H147" s="568"/>
      <c r="I147" s="4"/>
      <c r="J147" s="16"/>
      <c r="K147" s="29"/>
      <c r="L147" s="16"/>
      <c r="M147" s="177"/>
      <c r="N147" s="177"/>
      <c r="O147" s="177"/>
      <c r="P147" s="569"/>
      <c r="Q147" s="29"/>
      <c r="R147" s="16"/>
      <c r="S147" s="833"/>
      <c r="T147" s="16"/>
      <c r="U147" s="576"/>
      <c r="X147"/>
    </row>
    <row r="148" spans="1:24" s="11" customFormat="1" x14ac:dyDescent="0.25">
      <c r="A148" s="219"/>
      <c r="B148" s="49"/>
      <c r="C148" s="1"/>
      <c r="D148" s="1"/>
      <c r="E148" s="1"/>
      <c r="F148" s="1"/>
      <c r="G148" s="1"/>
      <c r="H148" s="568"/>
      <c r="I148" s="4"/>
      <c r="J148" s="16"/>
      <c r="K148" s="29"/>
      <c r="L148" s="16"/>
      <c r="M148" s="177"/>
      <c r="N148" s="177"/>
      <c r="O148" s="177"/>
      <c r="P148" s="569"/>
      <c r="Q148" s="29"/>
      <c r="R148" s="16"/>
      <c r="S148" s="833"/>
      <c r="T148" s="16"/>
      <c r="U148" s="576"/>
      <c r="X148"/>
    </row>
    <row r="149" spans="1:24" s="11" customFormat="1" x14ac:dyDescent="0.25">
      <c r="A149" s="219"/>
      <c r="B149" s="49"/>
      <c r="C149" s="1"/>
      <c r="D149" s="1"/>
      <c r="E149" s="1"/>
      <c r="F149" s="1"/>
      <c r="G149" s="1"/>
      <c r="H149" s="568"/>
      <c r="I149" s="4"/>
      <c r="J149" s="16"/>
      <c r="K149" s="29"/>
      <c r="L149" s="16"/>
      <c r="M149" s="177"/>
      <c r="N149" s="177"/>
      <c r="O149" s="177"/>
      <c r="P149" s="569"/>
      <c r="Q149" s="29"/>
      <c r="R149" s="16"/>
      <c r="S149" s="833"/>
      <c r="T149" s="16"/>
      <c r="U149" s="576"/>
      <c r="X149"/>
    </row>
    <row r="150" spans="1:24" s="11" customFormat="1" x14ac:dyDescent="0.25">
      <c r="A150" s="219"/>
      <c r="B150" s="49"/>
      <c r="C150" s="1"/>
      <c r="D150" s="1"/>
      <c r="E150" s="1"/>
      <c r="F150" s="1"/>
      <c r="G150" s="1"/>
      <c r="H150" s="568"/>
      <c r="I150" s="4"/>
      <c r="J150" s="16"/>
      <c r="K150" s="29"/>
      <c r="L150" s="16"/>
      <c r="M150" s="177"/>
      <c r="N150" s="177"/>
      <c r="O150" s="177"/>
      <c r="P150" s="569"/>
      <c r="Q150" s="29"/>
      <c r="R150" s="16"/>
      <c r="S150" s="833"/>
      <c r="T150" s="16"/>
      <c r="U150" s="576"/>
      <c r="X150"/>
    </row>
    <row r="151" spans="1:24" s="11" customFormat="1" x14ac:dyDescent="0.25">
      <c r="A151" s="219"/>
      <c r="B151" s="49"/>
      <c r="C151" s="1"/>
      <c r="D151" s="1"/>
      <c r="E151" s="1"/>
      <c r="F151" s="1"/>
      <c r="G151" s="1"/>
      <c r="H151" s="568"/>
      <c r="I151" s="4"/>
      <c r="J151" s="16"/>
      <c r="K151" s="29"/>
      <c r="L151" s="16"/>
      <c r="M151" s="177"/>
      <c r="N151" s="177"/>
      <c r="O151" s="177"/>
      <c r="P151" s="569"/>
      <c r="Q151" s="29"/>
      <c r="R151" s="16"/>
      <c r="S151" s="833"/>
      <c r="T151" s="16"/>
      <c r="U151" s="576"/>
      <c r="X151"/>
    </row>
    <row r="152" spans="1:24" s="11" customFormat="1" x14ac:dyDescent="0.25">
      <c r="A152" s="219"/>
      <c r="B152" s="49"/>
      <c r="C152" s="1"/>
      <c r="D152" s="1"/>
      <c r="E152" s="1"/>
      <c r="F152" s="1"/>
      <c r="G152" s="1"/>
      <c r="H152" s="568"/>
      <c r="I152" s="4"/>
      <c r="J152" s="16"/>
      <c r="K152" s="29"/>
      <c r="L152" s="16"/>
      <c r="M152" s="177"/>
      <c r="N152" s="177"/>
      <c r="O152" s="177"/>
      <c r="P152" s="569"/>
      <c r="Q152" s="29"/>
      <c r="R152" s="16"/>
      <c r="S152" s="833"/>
      <c r="T152" s="16"/>
      <c r="U152" s="576"/>
      <c r="X152"/>
    </row>
    <row r="153" spans="1:24" s="11" customFormat="1" x14ac:dyDescent="0.25">
      <c r="A153" s="219"/>
      <c r="B153" s="49"/>
      <c r="C153" s="1"/>
      <c r="D153" s="1"/>
      <c r="E153" s="1"/>
      <c r="F153" s="1"/>
      <c r="G153" s="1"/>
      <c r="H153" s="568"/>
      <c r="I153" s="4"/>
      <c r="J153" s="16"/>
      <c r="K153" s="29"/>
      <c r="L153" s="16"/>
      <c r="M153" s="177"/>
      <c r="N153" s="177"/>
      <c r="O153" s="177"/>
      <c r="P153" s="569"/>
      <c r="Q153" s="29"/>
      <c r="R153" s="16"/>
      <c r="S153" s="833"/>
      <c r="T153" s="16"/>
      <c r="U153" s="576"/>
      <c r="X153"/>
    </row>
    <row r="154" spans="1:24" s="11" customFormat="1" x14ac:dyDescent="0.25">
      <c r="A154" s="219"/>
      <c r="B154" s="49"/>
      <c r="C154" s="1"/>
      <c r="D154" s="1"/>
      <c r="E154" s="1"/>
      <c r="F154" s="1"/>
      <c r="G154" s="1"/>
      <c r="H154" s="568"/>
      <c r="I154" s="4"/>
      <c r="J154" s="16"/>
      <c r="K154" s="29"/>
      <c r="L154" s="16"/>
      <c r="M154" s="177"/>
      <c r="N154" s="177"/>
      <c r="O154" s="177"/>
      <c r="P154" s="569"/>
      <c r="Q154" s="29"/>
      <c r="R154" s="16"/>
      <c r="S154" s="833"/>
      <c r="T154" s="16"/>
      <c r="U154" s="576"/>
      <c r="X154"/>
    </row>
    <row r="155" spans="1:24" s="11" customFormat="1" x14ac:dyDescent="0.25">
      <c r="A155" s="219"/>
      <c r="B155" s="49"/>
      <c r="C155" s="1"/>
      <c r="D155" s="1"/>
      <c r="E155" s="1"/>
      <c r="F155" s="1"/>
      <c r="G155" s="1"/>
      <c r="H155" s="568"/>
      <c r="I155" s="4"/>
      <c r="J155" s="16"/>
      <c r="K155" s="29"/>
      <c r="L155" s="16"/>
      <c r="M155" s="177"/>
      <c r="N155" s="177"/>
      <c r="O155" s="177"/>
      <c r="P155" s="569"/>
      <c r="Q155" s="29"/>
      <c r="R155" s="16"/>
      <c r="S155" s="833"/>
      <c r="T155" s="16"/>
      <c r="U155" s="576"/>
      <c r="X155"/>
    </row>
    <row r="156" spans="1:24" s="11" customFormat="1" x14ac:dyDescent="0.25">
      <c r="A156" s="219"/>
      <c r="B156" s="49"/>
      <c r="C156" s="1"/>
      <c r="D156" s="1"/>
      <c r="E156" s="1"/>
      <c r="F156" s="1"/>
      <c r="G156" s="1"/>
      <c r="H156" s="568"/>
      <c r="I156" s="4"/>
      <c r="J156" s="16"/>
      <c r="K156" s="29"/>
      <c r="L156" s="16"/>
      <c r="M156" s="177"/>
      <c r="N156" s="177"/>
      <c r="O156" s="177"/>
      <c r="P156" s="569"/>
      <c r="Q156" s="29"/>
      <c r="R156" s="16"/>
      <c r="S156" s="833"/>
      <c r="T156" s="16"/>
      <c r="U156" s="576"/>
      <c r="X156"/>
    </row>
    <row r="157" spans="1:24" s="11" customFormat="1" x14ac:dyDescent="0.25">
      <c r="A157" s="219"/>
      <c r="B157" s="49"/>
      <c r="C157" s="1"/>
      <c r="D157" s="1"/>
      <c r="E157" s="1"/>
      <c r="F157" s="1"/>
      <c r="G157" s="1"/>
      <c r="H157" s="568"/>
      <c r="I157" s="4"/>
      <c r="J157" s="16"/>
      <c r="K157" s="29"/>
      <c r="L157" s="16"/>
      <c r="M157" s="177"/>
      <c r="N157" s="177"/>
      <c r="O157" s="177"/>
      <c r="P157" s="569"/>
      <c r="Q157" s="29"/>
      <c r="R157" s="16"/>
      <c r="S157" s="833"/>
      <c r="T157" s="16"/>
      <c r="U157" s="576"/>
      <c r="X157"/>
    </row>
    <row r="158" spans="1:24" s="11" customFormat="1" x14ac:dyDescent="0.25">
      <c r="A158" s="219"/>
      <c r="B158" s="49"/>
      <c r="C158" s="1"/>
      <c r="D158" s="1"/>
      <c r="E158" s="1"/>
      <c r="F158" s="1"/>
      <c r="G158" s="1"/>
      <c r="H158" s="568"/>
      <c r="I158" s="4"/>
      <c r="J158" s="16"/>
      <c r="K158" s="29"/>
      <c r="L158" s="16"/>
      <c r="M158" s="177"/>
      <c r="N158" s="177"/>
      <c r="O158" s="177"/>
      <c r="P158" s="569"/>
      <c r="Q158" s="29"/>
      <c r="R158" s="16"/>
      <c r="S158" s="833"/>
      <c r="T158" s="16"/>
      <c r="U158" s="576"/>
      <c r="X158"/>
    </row>
    <row r="159" spans="1:24" s="11" customFormat="1" x14ac:dyDescent="0.25">
      <c r="A159" s="219"/>
      <c r="B159" s="49"/>
      <c r="C159" s="1"/>
      <c r="D159" s="1"/>
      <c r="E159" s="1"/>
      <c r="F159" s="1"/>
      <c r="G159" s="1"/>
      <c r="H159" s="568"/>
      <c r="I159" s="4"/>
      <c r="J159" s="16"/>
      <c r="K159" s="29"/>
      <c r="L159" s="16"/>
      <c r="M159" s="177"/>
      <c r="N159" s="177"/>
      <c r="O159" s="177"/>
      <c r="P159" s="569"/>
      <c r="Q159" s="29"/>
      <c r="R159" s="16"/>
      <c r="S159" s="833"/>
      <c r="T159" s="16"/>
      <c r="U159" s="576"/>
      <c r="X159"/>
    </row>
    <row r="160" spans="1:24" s="11" customFormat="1" x14ac:dyDescent="0.25">
      <c r="A160" s="219"/>
      <c r="B160" s="49"/>
      <c r="C160" s="1"/>
      <c r="D160" s="1"/>
      <c r="E160" s="1"/>
      <c r="F160" s="1"/>
      <c r="G160" s="1"/>
      <c r="H160" s="568"/>
      <c r="I160" s="4"/>
      <c r="J160" s="16"/>
      <c r="K160" s="29"/>
      <c r="L160" s="16"/>
      <c r="M160" s="177"/>
      <c r="N160" s="177"/>
      <c r="O160" s="177"/>
      <c r="P160" s="569"/>
      <c r="Q160" s="29"/>
      <c r="R160" s="16"/>
      <c r="S160" s="833"/>
      <c r="T160" s="16"/>
      <c r="U160" s="576"/>
      <c r="X160"/>
    </row>
    <row r="161" spans="1:24" s="11" customFormat="1" x14ac:dyDescent="0.25">
      <c r="A161" s="219"/>
      <c r="B161" s="49"/>
      <c r="C161" s="1"/>
      <c r="D161" s="1"/>
      <c r="E161" s="1"/>
      <c r="F161" s="1"/>
      <c r="G161" s="1"/>
      <c r="H161" s="568"/>
      <c r="I161" s="4"/>
      <c r="J161" s="16"/>
      <c r="K161" s="29"/>
      <c r="L161" s="16"/>
      <c r="M161" s="177"/>
      <c r="N161" s="177"/>
      <c r="O161" s="177"/>
      <c r="P161" s="569"/>
      <c r="Q161" s="29"/>
      <c r="R161" s="16"/>
      <c r="S161" s="833"/>
      <c r="T161" s="16"/>
      <c r="U161" s="576"/>
      <c r="X161"/>
    </row>
    <row r="162" spans="1:24" s="11" customFormat="1" x14ac:dyDescent="0.25">
      <c r="A162" s="219"/>
      <c r="B162" s="49"/>
      <c r="C162" s="1"/>
      <c r="D162" s="1"/>
      <c r="E162" s="1"/>
      <c r="F162" s="1"/>
      <c r="G162" s="1"/>
      <c r="H162" s="568"/>
      <c r="I162" s="4"/>
      <c r="J162" s="16"/>
      <c r="K162" s="29"/>
      <c r="L162" s="16"/>
      <c r="M162" s="177"/>
      <c r="N162" s="177"/>
      <c r="O162" s="177"/>
      <c r="P162" s="569"/>
      <c r="Q162" s="29"/>
      <c r="R162" s="16"/>
      <c r="S162" s="833"/>
      <c r="T162" s="16"/>
      <c r="U162" s="576"/>
      <c r="X162"/>
    </row>
    <row r="163" spans="1:24" s="11" customFormat="1" x14ac:dyDescent="0.25">
      <c r="A163" s="219"/>
      <c r="B163" s="49"/>
      <c r="C163" s="1"/>
      <c r="D163" s="1"/>
      <c r="E163" s="1"/>
      <c r="F163" s="1"/>
      <c r="G163" s="1"/>
      <c r="H163" s="568"/>
      <c r="I163" s="4"/>
      <c r="J163" s="16"/>
      <c r="K163" s="29"/>
      <c r="L163" s="16"/>
      <c r="M163" s="177"/>
      <c r="N163" s="177"/>
      <c r="O163" s="177"/>
      <c r="P163" s="569"/>
      <c r="Q163" s="29"/>
      <c r="R163" s="16"/>
      <c r="S163" s="833"/>
      <c r="T163" s="16"/>
      <c r="U163" s="576"/>
      <c r="X163"/>
    </row>
    <row r="164" spans="1:24" s="11" customFormat="1" x14ac:dyDescent="0.25">
      <c r="A164" s="219"/>
      <c r="B164" s="49"/>
      <c r="C164" s="1"/>
      <c r="D164" s="1"/>
      <c r="E164" s="1"/>
      <c r="F164" s="1"/>
      <c r="G164" s="1"/>
      <c r="H164" s="568"/>
      <c r="I164" s="4"/>
      <c r="J164" s="16"/>
      <c r="K164" s="29"/>
      <c r="L164" s="16"/>
      <c r="M164" s="177"/>
      <c r="N164" s="177"/>
      <c r="O164" s="177"/>
      <c r="P164" s="569"/>
      <c r="Q164" s="29"/>
      <c r="R164" s="16"/>
      <c r="S164" s="833"/>
      <c r="T164" s="16"/>
      <c r="U164" s="576"/>
      <c r="X164"/>
    </row>
    <row r="165" spans="1:24" s="11" customFormat="1" x14ac:dyDescent="0.25">
      <c r="A165" s="219"/>
      <c r="B165" s="49"/>
      <c r="C165" s="1"/>
      <c r="D165" s="1"/>
      <c r="E165" s="1"/>
      <c r="F165" s="1"/>
      <c r="G165" s="1"/>
      <c r="H165" s="568"/>
      <c r="I165" s="4"/>
      <c r="J165" s="16"/>
      <c r="K165" s="29"/>
      <c r="L165" s="16"/>
      <c r="M165" s="177"/>
      <c r="N165" s="177"/>
      <c r="O165" s="177"/>
      <c r="P165" s="569"/>
      <c r="Q165" s="29"/>
      <c r="R165" s="16"/>
      <c r="S165" s="833"/>
      <c r="T165" s="16"/>
      <c r="U165" s="576"/>
      <c r="X165"/>
    </row>
    <row r="166" spans="1:24" s="11" customFormat="1" x14ac:dyDescent="0.25">
      <c r="A166" s="219"/>
      <c r="B166" s="49"/>
      <c r="C166" s="1"/>
      <c r="D166" s="1"/>
      <c r="E166" s="1"/>
      <c r="F166" s="1"/>
      <c r="G166" s="1"/>
      <c r="H166" s="568"/>
      <c r="I166" s="4"/>
      <c r="J166" s="16"/>
      <c r="K166" s="29"/>
      <c r="L166" s="16"/>
      <c r="M166" s="177"/>
      <c r="N166" s="177"/>
      <c r="O166" s="177"/>
      <c r="P166" s="569"/>
      <c r="Q166" s="29"/>
      <c r="R166" s="16"/>
      <c r="S166" s="833"/>
      <c r="T166" s="16"/>
      <c r="U166" s="576"/>
      <c r="X166"/>
    </row>
    <row r="167" spans="1:24" s="11" customFormat="1" x14ac:dyDescent="0.25">
      <c r="A167" s="219"/>
      <c r="B167" s="49"/>
      <c r="C167" s="1"/>
      <c r="D167" s="1"/>
      <c r="E167" s="1"/>
      <c r="F167" s="1"/>
      <c r="G167" s="1"/>
      <c r="H167" s="568"/>
      <c r="I167" s="4"/>
      <c r="J167" s="16"/>
      <c r="K167" s="29"/>
      <c r="L167" s="16"/>
      <c r="M167" s="177"/>
      <c r="N167" s="177"/>
      <c r="O167" s="177"/>
      <c r="P167" s="569"/>
      <c r="Q167" s="29"/>
      <c r="R167" s="16"/>
      <c r="S167" s="833"/>
      <c r="T167" s="16"/>
      <c r="U167" s="576"/>
      <c r="X167"/>
    </row>
    <row r="168" spans="1:24" s="11" customFormat="1" x14ac:dyDescent="0.25">
      <c r="A168" s="219"/>
      <c r="B168" s="49"/>
      <c r="C168" s="1"/>
      <c r="D168" s="1"/>
      <c r="E168" s="1"/>
      <c r="F168" s="1"/>
      <c r="G168" s="1"/>
      <c r="H168" s="568"/>
      <c r="I168" s="4"/>
      <c r="J168" s="16"/>
      <c r="K168" s="29"/>
      <c r="L168" s="16"/>
      <c r="M168" s="177"/>
      <c r="N168" s="177"/>
      <c r="O168" s="177"/>
      <c r="P168" s="569"/>
      <c r="Q168" s="29"/>
      <c r="R168" s="16"/>
      <c r="S168" s="833"/>
      <c r="T168" s="16"/>
      <c r="U168" s="576"/>
      <c r="X168"/>
    </row>
    <row r="169" spans="1:24" s="11" customFormat="1" x14ac:dyDescent="0.25">
      <c r="A169" s="219"/>
      <c r="B169" s="49"/>
      <c r="C169" s="1"/>
      <c r="D169" s="1"/>
      <c r="E169" s="1"/>
      <c r="F169" s="1"/>
      <c r="G169" s="1"/>
      <c r="H169" s="568"/>
      <c r="I169" s="4"/>
      <c r="J169" s="16"/>
      <c r="K169" s="29"/>
      <c r="L169" s="16"/>
      <c r="M169" s="177"/>
      <c r="N169" s="177"/>
      <c r="O169" s="177"/>
      <c r="P169" s="569"/>
      <c r="Q169" s="29"/>
      <c r="R169" s="16"/>
      <c r="S169" s="833"/>
      <c r="T169" s="16"/>
      <c r="U169" s="576"/>
      <c r="X169"/>
    </row>
    <row r="170" spans="1:24" s="11" customFormat="1" x14ac:dyDescent="0.25">
      <c r="A170" s="219"/>
      <c r="B170" s="49"/>
      <c r="C170" s="1"/>
      <c r="D170" s="1"/>
      <c r="E170" s="1"/>
      <c r="F170" s="1"/>
      <c r="G170" s="1"/>
      <c r="H170" s="568"/>
      <c r="I170" s="4"/>
      <c r="J170" s="16"/>
      <c r="K170" s="29"/>
      <c r="L170" s="16"/>
      <c r="M170" s="177"/>
      <c r="N170" s="177"/>
      <c r="O170" s="177"/>
      <c r="P170" s="569"/>
      <c r="Q170" s="29"/>
      <c r="R170" s="16"/>
      <c r="S170" s="833"/>
      <c r="T170" s="16"/>
      <c r="U170" s="576"/>
      <c r="X170"/>
    </row>
    <row r="171" spans="1:24" s="11" customFormat="1" x14ac:dyDescent="0.25">
      <c r="A171" s="219"/>
      <c r="B171" s="49"/>
      <c r="C171" s="1"/>
      <c r="D171" s="1"/>
      <c r="E171" s="1"/>
      <c r="F171" s="1"/>
      <c r="G171" s="1"/>
      <c r="H171" s="568"/>
      <c r="I171" s="4"/>
      <c r="J171" s="16"/>
      <c r="K171" s="29"/>
      <c r="L171" s="16"/>
      <c r="M171" s="177"/>
      <c r="N171" s="177"/>
      <c r="O171" s="177"/>
      <c r="P171" s="569"/>
      <c r="Q171" s="29"/>
      <c r="R171" s="16"/>
      <c r="S171" s="833"/>
      <c r="T171" s="16"/>
      <c r="U171" s="576"/>
      <c r="X171"/>
    </row>
    <row r="172" spans="1:24" s="11" customFormat="1" x14ac:dyDescent="0.25">
      <c r="A172" s="219"/>
      <c r="B172" s="49"/>
      <c r="C172" s="1"/>
      <c r="D172" s="1"/>
      <c r="E172" s="1"/>
      <c r="F172" s="1"/>
      <c r="G172" s="1"/>
      <c r="H172" s="568"/>
      <c r="I172" s="4"/>
      <c r="J172" s="16"/>
      <c r="K172" s="29"/>
      <c r="L172" s="16"/>
      <c r="M172" s="177"/>
      <c r="N172" s="177"/>
      <c r="O172" s="177"/>
      <c r="P172" s="569"/>
      <c r="Q172" s="29"/>
      <c r="R172" s="16"/>
      <c r="S172" s="833"/>
      <c r="T172" s="16"/>
      <c r="U172" s="576"/>
      <c r="X172"/>
    </row>
    <row r="173" spans="1:24" s="11" customFormat="1" x14ac:dyDescent="0.25">
      <c r="A173" s="219"/>
      <c r="B173" s="49"/>
      <c r="C173" s="1"/>
      <c r="D173" s="1"/>
      <c r="E173" s="1"/>
      <c r="F173" s="1"/>
      <c r="G173" s="1"/>
      <c r="H173" s="568"/>
      <c r="I173" s="4"/>
      <c r="J173" s="16"/>
      <c r="K173" s="29"/>
      <c r="L173" s="16"/>
      <c r="M173" s="177"/>
      <c r="N173" s="177"/>
      <c r="O173" s="177"/>
      <c r="P173" s="569"/>
      <c r="Q173" s="29"/>
      <c r="R173" s="16"/>
      <c r="S173" s="833"/>
      <c r="T173" s="16"/>
      <c r="U173" s="576"/>
      <c r="X173"/>
    </row>
    <row r="174" spans="1:24" s="11" customFormat="1" x14ac:dyDescent="0.25">
      <c r="A174" s="219"/>
      <c r="B174" s="49"/>
      <c r="C174" s="1"/>
      <c r="D174" s="1"/>
      <c r="E174" s="1"/>
      <c r="F174" s="1"/>
      <c r="G174" s="1"/>
      <c r="H174" s="568"/>
      <c r="I174" s="4"/>
      <c r="J174" s="16"/>
      <c r="K174" s="29"/>
      <c r="L174" s="16"/>
      <c r="M174" s="177"/>
      <c r="N174" s="177"/>
      <c r="O174" s="177"/>
      <c r="P174" s="569"/>
      <c r="Q174" s="29"/>
      <c r="R174" s="16"/>
      <c r="S174" s="833"/>
      <c r="T174" s="16"/>
      <c r="U174" s="576"/>
      <c r="X174"/>
    </row>
    <row r="175" spans="1:24" s="11" customFormat="1" x14ac:dyDescent="0.25">
      <c r="A175" s="219"/>
      <c r="B175" s="49"/>
      <c r="C175" s="1"/>
      <c r="D175" s="1"/>
      <c r="E175" s="1"/>
      <c r="F175" s="1"/>
      <c r="G175" s="1"/>
      <c r="H175" s="568"/>
      <c r="I175" s="4"/>
      <c r="J175" s="16"/>
      <c r="K175" s="29"/>
      <c r="L175" s="16"/>
      <c r="M175" s="177"/>
      <c r="N175" s="177"/>
      <c r="O175" s="177"/>
      <c r="P175" s="569"/>
      <c r="Q175" s="29"/>
      <c r="R175" s="16"/>
      <c r="S175" s="833"/>
      <c r="T175" s="16"/>
      <c r="U175" s="576"/>
      <c r="X175"/>
    </row>
    <row r="176" spans="1:24" s="11" customFormat="1" x14ac:dyDescent="0.25">
      <c r="A176" s="219"/>
      <c r="B176" s="49"/>
      <c r="C176" s="1"/>
      <c r="D176" s="1"/>
      <c r="E176" s="1"/>
      <c r="F176" s="1"/>
      <c r="G176" s="1"/>
      <c r="H176" s="568"/>
      <c r="I176" s="4"/>
      <c r="J176" s="16"/>
      <c r="K176" s="29"/>
      <c r="L176" s="16"/>
      <c r="M176" s="177"/>
      <c r="N176" s="177"/>
      <c r="O176" s="177"/>
      <c r="P176" s="569"/>
      <c r="Q176" s="29"/>
      <c r="R176" s="16"/>
      <c r="S176" s="833"/>
      <c r="T176" s="16"/>
      <c r="U176" s="576"/>
      <c r="X176"/>
    </row>
    <row r="177" spans="1:24" s="11" customFormat="1" x14ac:dyDescent="0.25">
      <c r="A177" s="219"/>
      <c r="B177" s="49"/>
      <c r="C177" s="1"/>
      <c r="D177" s="1"/>
      <c r="E177" s="1"/>
      <c r="F177" s="1"/>
      <c r="G177" s="1"/>
      <c r="H177" s="568"/>
      <c r="I177" s="4"/>
      <c r="J177" s="16"/>
      <c r="K177" s="29"/>
      <c r="L177" s="16"/>
      <c r="M177" s="177"/>
      <c r="N177" s="177"/>
      <c r="O177" s="177"/>
      <c r="P177" s="569"/>
      <c r="Q177" s="29"/>
      <c r="R177" s="16"/>
      <c r="S177" s="833"/>
      <c r="T177" s="16"/>
      <c r="U177" s="576"/>
      <c r="X177"/>
    </row>
    <row r="178" spans="1:24" s="11" customFormat="1" x14ac:dyDescent="0.25">
      <c r="A178" s="219"/>
      <c r="B178" s="49"/>
      <c r="C178" s="1"/>
      <c r="D178" s="1"/>
      <c r="E178" s="1"/>
      <c r="F178" s="1"/>
      <c r="G178" s="1"/>
      <c r="H178" s="568"/>
      <c r="I178" s="4"/>
      <c r="J178" s="16"/>
      <c r="K178" s="29"/>
      <c r="L178" s="16"/>
      <c r="M178" s="177"/>
      <c r="N178" s="177"/>
      <c r="O178" s="177"/>
      <c r="P178" s="569"/>
      <c r="Q178" s="29"/>
      <c r="R178" s="16"/>
      <c r="S178" s="833"/>
      <c r="T178" s="16"/>
      <c r="U178" s="576"/>
      <c r="X178"/>
    </row>
    <row r="179" spans="1:24" s="11" customFormat="1" x14ac:dyDescent="0.25">
      <c r="A179" s="219"/>
      <c r="B179" s="49"/>
      <c r="C179" s="1"/>
      <c r="D179" s="1"/>
      <c r="E179" s="1"/>
      <c r="F179" s="1"/>
      <c r="G179" s="1"/>
      <c r="H179" s="568"/>
      <c r="I179" s="4"/>
      <c r="J179" s="16"/>
      <c r="K179" s="29"/>
      <c r="L179" s="16"/>
      <c r="M179" s="177"/>
      <c r="N179" s="177"/>
      <c r="O179" s="177"/>
      <c r="P179" s="569"/>
      <c r="Q179" s="29"/>
      <c r="R179" s="16"/>
      <c r="S179" s="833"/>
      <c r="T179" s="16"/>
      <c r="U179" s="576"/>
      <c r="X179"/>
    </row>
    <row r="180" spans="1:24" s="11" customFormat="1" x14ac:dyDescent="0.25">
      <c r="A180" s="219"/>
      <c r="B180" s="49"/>
      <c r="C180" s="1"/>
      <c r="D180" s="1"/>
      <c r="E180" s="1"/>
      <c r="F180" s="1"/>
      <c r="G180" s="1"/>
      <c r="H180" s="568"/>
      <c r="I180" s="4"/>
      <c r="J180" s="16"/>
      <c r="K180" s="29"/>
      <c r="L180" s="16"/>
      <c r="M180" s="177"/>
      <c r="N180" s="177"/>
      <c r="O180" s="177"/>
      <c r="P180" s="569"/>
      <c r="Q180" s="29"/>
      <c r="R180" s="16"/>
      <c r="S180" s="833"/>
      <c r="T180" s="16"/>
      <c r="U180" s="576"/>
      <c r="X180"/>
    </row>
    <row r="181" spans="1:24" s="11" customFormat="1" x14ac:dyDescent="0.25">
      <c r="A181" s="219"/>
      <c r="B181" s="49"/>
      <c r="C181" s="1"/>
      <c r="D181" s="1"/>
      <c r="E181" s="1"/>
      <c r="F181" s="1"/>
      <c r="G181" s="1"/>
      <c r="H181" s="568"/>
      <c r="I181" s="4"/>
      <c r="J181" s="16"/>
      <c r="K181" s="29"/>
      <c r="L181" s="16"/>
      <c r="M181" s="177"/>
      <c r="N181" s="177"/>
      <c r="O181" s="177"/>
      <c r="P181" s="569"/>
      <c r="Q181" s="29"/>
      <c r="R181" s="16"/>
      <c r="S181" s="833"/>
      <c r="T181" s="16"/>
      <c r="U181" s="576"/>
      <c r="X181"/>
    </row>
    <row r="182" spans="1:24" s="11" customFormat="1" x14ac:dyDescent="0.25">
      <c r="A182" s="219"/>
      <c r="B182" s="49"/>
      <c r="C182" s="1"/>
      <c r="D182" s="1"/>
      <c r="E182" s="1"/>
      <c r="F182" s="1"/>
      <c r="G182" s="1"/>
      <c r="H182" s="568"/>
      <c r="I182" s="4"/>
      <c r="J182" s="16"/>
      <c r="K182" s="29"/>
      <c r="L182" s="16"/>
      <c r="M182" s="177"/>
      <c r="N182" s="177"/>
      <c r="O182" s="177"/>
      <c r="P182" s="569"/>
      <c r="Q182" s="29"/>
      <c r="R182" s="16"/>
      <c r="S182" s="833"/>
      <c r="T182" s="16"/>
      <c r="U182" s="576"/>
      <c r="X182"/>
    </row>
    <row r="183" spans="1:24" s="11" customFormat="1" x14ac:dyDescent="0.25">
      <c r="A183" s="219"/>
      <c r="B183" s="49"/>
      <c r="C183" s="1"/>
      <c r="D183" s="1"/>
      <c r="E183" s="1"/>
      <c r="F183" s="1"/>
      <c r="G183" s="1"/>
      <c r="H183" s="568"/>
      <c r="I183" s="4"/>
      <c r="J183" s="16"/>
      <c r="K183" s="29"/>
      <c r="L183" s="16"/>
      <c r="M183" s="177"/>
      <c r="N183" s="177"/>
      <c r="O183" s="177"/>
      <c r="P183" s="569"/>
      <c r="Q183" s="29"/>
      <c r="R183" s="16"/>
      <c r="S183" s="833"/>
      <c r="T183" s="16"/>
      <c r="U183" s="576"/>
      <c r="X183"/>
    </row>
    <row r="184" spans="1:24" s="11" customFormat="1" x14ac:dyDescent="0.25">
      <c r="A184" s="219"/>
      <c r="B184" s="49"/>
      <c r="C184" s="1"/>
      <c r="D184" s="1"/>
      <c r="E184" s="1"/>
      <c r="F184" s="1"/>
      <c r="G184" s="1"/>
      <c r="H184" s="568"/>
      <c r="I184" s="4"/>
      <c r="J184" s="16"/>
      <c r="K184" s="29"/>
      <c r="L184" s="16"/>
      <c r="M184" s="177"/>
      <c r="N184" s="177"/>
      <c r="O184" s="177"/>
      <c r="P184" s="569"/>
      <c r="Q184" s="29"/>
      <c r="R184" s="16"/>
      <c r="S184" s="833"/>
      <c r="T184" s="16"/>
      <c r="U184" s="576"/>
      <c r="X184"/>
    </row>
    <row r="185" spans="1:24" s="11" customFormat="1" x14ac:dyDescent="0.25">
      <c r="A185" s="219"/>
      <c r="B185" s="49"/>
      <c r="C185" s="1"/>
      <c r="D185" s="1"/>
      <c r="E185" s="1"/>
      <c r="F185" s="1"/>
      <c r="G185" s="1"/>
      <c r="H185" s="568"/>
      <c r="I185" s="4"/>
      <c r="J185" s="16"/>
      <c r="K185" s="29"/>
      <c r="L185" s="16"/>
      <c r="M185" s="177"/>
      <c r="N185" s="177"/>
      <c r="O185" s="177"/>
      <c r="P185" s="569"/>
      <c r="Q185" s="29"/>
      <c r="R185" s="16"/>
      <c r="S185" s="833"/>
      <c r="T185" s="16"/>
      <c r="U185" s="576"/>
      <c r="X185"/>
    </row>
    <row r="186" spans="1:24" s="11" customFormat="1" x14ac:dyDescent="0.25">
      <c r="A186" s="219"/>
      <c r="B186" s="49"/>
      <c r="C186" s="1"/>
      <c r="D186" s="1"/>
      <c r="E186" s="1"/>
      <c r="F186" s="1"/>
      <c r="G186" s="1"/>
      <c r="H186" s="568"/>
      <c r="I186" s="4"/>
      <c r="J186" s="16"/>
      <c r="K186" s="29"/>
      <c r="L186" s="16"/>
      <c r="M186" s="177"/>
      <c r="N186" s="177"/>
      <c r="O186" s="177"/>
      <c r="P186" s="569"/>
      <c r="Q186" s="29"/>
      <c r="R186" s="16"/>
      <c r="S186" s="833"/>
      <c r="T186" s="16"/>
      <c r="U186" s="576"/>
      <c r="X186"/>
    </row>
    <row r="187" spans="1:24" s="11" customFormat="1" x14ac:dyDescent="0.25">
      <c r="A187" s="219"/>
      <c r="B187" s="49"/>
      <c r="C187" s="1"/>
      <c r="D187" s="1"/>
      <c r="E187" s="1"/>
      <c r="F187" s="1"/>
      <c r="G187" s="1"/>
      <c r="H187" s="568"/>
      <c r="I187" s="4"/>
      <c r="J187" s="16"/>
      <c r="K187" s="29"/>
      <c r="L187" s="16"/>
      <c r="M187" s="177"/>
      <c r="N187" s="177"/>
      <c r="O187" s="177"/>
      <c r="P187" s="569"/>
      <c r="Q187" s="29"/>
      <c r="R187" s="16"/>
      <c r="S187" s="833"/>
      <c r="T187" s="16"/>
      <c r="U187" s="576"/>
      <c r="X187"/>
    </row>
    <row r="188" spans="1:24" s="11" customFormat="1" x14ac:dyDescent="0.25">
      <c r="A188" s="219"/>
      <c r="B188" s="49"/>
      <c r="C188" s="1"/>
      <c r="D188" s="1"/>
      <c r="E188" s="1"/>
      <c r="F188" s="1"/>
      <c r="G188" s="1"/>
      <c r="H188" s="568"/>
      <c r="I188" s="4"/>
      <c r="J188" s="16"/>
      <c r="K188" s="29"/>
      <c r="L188" s="16"/>
      <c r="M188" s="177"/>
      <c r="N188" s="177"/>
      <c r="O188" s="177"/>
      <c r="P188" s="569"/>
      <c r="Q188" s="29"/>
      <c r="R188" s="16"/>
      <c r="S188" s="833"/>
      <c r="T188" s="16"/>
      <c r="U188" s="576"/>
      <c r="X188"/>
    </row>
    <row r="189" spans="1:24" s="11" customFormat="1" x14ac:dyDescent="0.25">
      <c r="A189" s="219"/>
      <c r="B189" s="49"/>
      <c r="C189" s="1"/>
      <c r="D189" s="1"/>
      <c r="E189" s="1"/>
      <c r="F189" s="1"/>
      <c r="G189" s="1"/>
      <c r="H189" s="568"/>
      <c r="I189" s="4"/>
      <c r="J189" s="16"/>
      <c r="K189" s="29"/>
      <c r="L189" s="16"/>
      <c r="M189" s="177"/>
      <c r="N189" s="177"/>
      <c r="O189" s="177"/>
      <c r="P189" s="569"/>
      <c r="Q189" s="29"/>
      <c r="R189" s="16"/>
      <c r="S189" s="833"/>
      <c r="T189" s="16"/>
      <c r="U189" s="576"/>
      <c r="X189"/>
    </row>
    <row r="190" spans="1:24" s="11" customFormat="1" x14ac:dyDescent="0.25">
      <c r="A190" s="219"/>
      <c r="B190" s="49"/>
      <c r="C190" s="1"/>
      <c r="D190" s="1"/>
      <c r="E190" s="1"/>
      <c r="F190" s="1"/>
      <c r="G190" s="1"/>
      <c r="H190" s="568"/>
      <c r="I190" s="4"/>
      <c r="J190" s="16"/>
      <c r="K190" s="29"/>
      <c r="L190" s="16"/>
      <c r="M190" s="177"/>
      <c r="N190" s="177"/>
      <c r="O190" s="177"/>
      <c r="P190" s="569"/>
      <c r="Q190" s="29"/>
      <c r="R190" s="16"/>
      <c r="S190" s="833"/>
      <c r="T190" s="16"/>
      <c r="U190" s="576"/>
      <c r="X190"/>
    </row>
    <row r="191" spans="1:24" s="11" customFormat="1" x14ac:dyDescent="0.25">
      <c r="A191" s="219"/>
      <c r="B191" s="49"/>
      <c r="C191" s="1"/>
      <c r="D191" s="1"/>
      <c r="E191" s="1"/>
      <c r="F191" s="1"/>
      <c r="G191" s="1"/>
      <c r="H191" s="568"/>
      <c r="I191" s="4"/>
      <c r="J191" s="16"/>
      <c r="K191" s="29"/>
      <c r="L191" s="16"/>
      <c r="M191" s="177"/>
      <c r="N191" s="177"/>
      <c r="O191" s="177"/>
      <c r="P191" s="569"/>
      <c r="Q191" s="29"/>
      <c r="R191" s="16"/>
      <c r="S191" s="833"/>
      <c r="T191" s="16"/>
      <c r="U191" s="576"/>
      <c r="X191"/>
    </row>
    <row r="192" spans="1:24" s="11" customFormat="1" x14ac:dyDescent="0.25">
      <c r="A192" s="219"/>
      <c r="B192" s="49"/>
      <c r="C192" s="1"/>
      <c r="D192" s="1"/>
      <c r="E192" s="1"/>
      <c r="F192" s="1"/>
      <c r="G192" s="1"/>
      <c r="H192" s="568"/>
      <c r="I192" s="4"/>
      <c r="J192" s="16"/>
      <c r="K192" s="29"/>
      <c r="L192" s="16"/>
      <c r="M192" s="177"/>
      <c r="N192" s="177"/>
      <c r="O192" s="177"/>
      <c r="P192" s="569"/>
      <c r="Q192" s="29"/>
      <c r="R192" s="16"/>
      <c r="S192" s="833"/>
      <c r="T192" s="16"/>
      <c r="U192" s="576"/>
      <c r="X192"/>
    </row>
  </sheetData>
  <mergeCells count="24">
    <mergeCell ref="A30:A31"/>
    <mergeCell ref="B13:B14"/>
    <mergeCell ref="B15:B16"/>
    <mergeCell ref="A1:U1"/>
    <mergeCell ref="A11:A12"/>
    <mergeCell ref="A17:A18"/>
    <mergeCell ref="A22:A23"/>
    <mergeCell ref="A24:A25"/>
    <mergeCell ref="A13:A14"/>
    <mergeCell ref="A15:A16"/>
    <mergeCell ref="U3:U4"/>
    <mergeCell ref="A3:A4"/>
    <mergeCell ref="B3:B4"/>
    <mergeCell ref="C3:H3"/>
    <mergeCell ref="I3:J3"/>
    <mergeCell ref="K3:L3"/>
    <mergeCell ref="P3:P4"/>
    <mergeCell ref="Q3:R3"/>
    <mergeCell ref="S3:T3"/>
    <mergeCell ref="A26:A27"/>
    <mergeCell ref="B26:B27"/>
    <mergeCell ref="M3:M4"/>
    <mergeCell ref="N3:N4"/>
    <mergeCell ref="O3:O4"/>
  </mergeCells>
  <pageMargins left="0.5" right="0.5" top="0.5" bottom="0.5" header="0.05" footer="0.05"/>
  <pageSetup scale="49" fitToHeight="0" orientation="landscape"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65"/>
  <sheetViews>
    <sheetView workbookViewId="0">
      <selection activeCell="A2" sqref="A2"/>
    </sheetView>
  </sheetViews>
  <sheetFormatPr defaultColWidth="12.28515625" defaultRowHeight="15" x14ac:dyDescent="0.25"/>
  <cols>
    <col min="1" max="1" width="22.28515625" style="208" customWidth="1"/>
    <col min="2" max="2" width="43.28515625" style="208" customWidth="1"/>
    <col min="3" max="3" width="18.28515625" style="208" customWidth="1"/>
    <col min="4" max="4" width="14" style="208" customWidth="1"/>
    <col min="5" max="5" width="20.7109375" style="208" customWidth="1"/>
    <col min="6" max="6" width="22.7109375" style="208" customWidth="1"/>
    <col min="7" max="7" width="43.7109375" style="208" customWidth="1"/>
    <col min="8" max="10" width="23" style="202" customWidth="1"/>
    <col min="11" max="17" width="22.7109375" style="202" customWidth="1"/>
    <col min="18" max="18" width="17.7109375" style="208" customWidth="1"/>
    <col min="19" max="16384" width="12.28515625" style="202"/>
  </cols>
  <sheetData>
    <row r="1" spans="1:18" ht="33" customHeight="1" x14ac:dyDescent="0.25">
      <c r="A1" s="213" t="s">
        <v>5577</v>
      </c>
    </row>
    <row r="2" spans="1:18" s="203" customFormat="1" ht="33.6" customHeight="1" thickBot="1" x14ac:dyDescent="0.3">
      <c r="A2" s="207" t="s">
        <v>1094</v>
      </c>
      <c r="B2" s="207" t="s">
        <v>1095</v>
      </c>
      <c r="C2" s="207" t="s">
        <v>1096</v>
      </c>
      <c r="D2" s="207" t="s">
        <v>1097</v>
      </c>
      <c r="E2" s="207" t="s">
        <v>1098</v>
      </c>
      <c r="F2" s="207" t="s">
        <v>1099</v>
      </c>
      <c r="G2" s="207" t="s">
        <v>1100</v>
      </c>
      <c r="H2" s="207" t="s">
        <v>1101</v>
      </c>
      <c r="I2" s="207" t="s">
        <v>1102</v>
      </c>
      <c r="J2" s="207" t="s">
        <v>1103</v>
      </c>
      <c r="K2" s="207" t="s">
        <v>1104</v>
      </c>
      <c r="L2" s="207" t="s">
        <v>1105</v>
      </c>
      <c r="M2" s="207" t="s">
        <v>1106</v>
      </c>
      <c r="N2" s="207" t="s">
        <v>1107</v>
      </c>
      <c r="O2" s="207" t="s">
        <v>1108</v>
      </c>
      <c r="P2" s="207" t="s">
        <v>1109</v>
      </c>
      <c r="Q2" s="207" t="s">
        <v>1110</v>
      </c>
      <c r="R2" s="207" t="s">
        <v>1111</v>
      </c>
    </row>
    <row r="3" spans="1:18" ht="15.75" thickTop="1" x14ac:dyDescent="0.25">
      <c r="A3" s="208" t="s">
        <v>1112</v>
      </c>
      <c r="B3" s="208" t="s">
        <v>1113</v>
      </c>
      <c r="C3" s="209">
        <v>8.3820000000000005E-8</v>
      </c>
      <c r="D3" s="208" t="s">
        <v>1114</v>
      </c>
      <c r="E3" s="208">
        <v>8.9999999999999993E-3</v>
      </c>
      <c r="F3" s="208" t="s">
        <v>1115</v>
      </c>
      <c r="G3" s="208" t="s">
        <v>1116</v>
      </c>
      <c r="H3" s="202" t="s">
        <v>1117</v>
      </c>
      <c r="I3" s="202" t="s">
        <v>1118</v>
      </c>
      <c r="J3" s="202" t="s">
        <v>1119</v>
      </c>
      <c r="K3" s="202" t="s">
        <v>1120</v>
      </c>
      <c r="L3" s="202" t="s">
        <v>1121</v>
      </c>
      <c r="M3" s="202" t="s">
        <v>1122</v>
      </c>
      <c r="N3" s="202" t="s">
        <v>1123</v>
      </c>
      <c r="O3" s="202" t="s">
        <v>1124</v>
      </c>
      <c r="P3" s="202" t="s">
        <v>1125</v>
      </c>
      <c r="Q3" s="202" t="s">
        <v>1126</v>
      </c>
    </row>
    <row r="4" spans="1:18" ht="30" x14ac:dyDescent="0.25">
      <c r="A4" s="208" t="s">
        <v>1127</v>
      </c>
      <c r="B4" s="208" t="s">
        <v>1128</v>
      </c>
      <c r="C4" s="209">
        <v>8.9960000000000006E-8</v>
      </c>
      <c r="D4" s="208" t="s">
        <v>1114</v>
      </c>
      <c r="E4" s="209">
        <v>3.2100000000000001E-5</v>
      </c>
      <c r="F4" s="208" t="s">
        <v>1129</v>
      </c>
      <c r="G4" s="208" t="s">
        <v>1130</v>
      </c>
      <c r="H4" s="202" t="s">
        <v>1131</v>
      </c>
      <c r="I4" s="202" t="s">
        <v>1132</v>
      </c>
      <c r="J4" s="202" t="s">
        <v>1133</v>
      </c>
      <c r="K4" s="202" t="s">
        <v>1134</v>
      </c>
      <c r="L4" s="202" t="s">
        <v>1135</v>
      </c>
      <c r="M4" s="202" t="s">
        <v>1136</v>
      </c>
      <c r="N4" s="202" t="s">
        <v>1137</v>
      </c>
      <c r="O4" s="202" t="s">
        <v>1138</v>
      </c>
      <c r="P4" s="202" t="s">
        <v>1139</v>
      </c>
      <c r="Q4" s="202" t="s">
        <v>1140</v>
      </c>
    </row>
    <row r="5" spans="1:18" x14ac:dyDescent="0.25">
      <c r="A5" s="208" t="s">
        <v>1141</v>
      </c>
      <c r="B5" s="208" t="s">
        <v>1142</v>
      </c>
      <c r="C5" s="209">
        <v>3.3939999999999998E-7</v>
      </c>
      <c r="D5" s="208" t="s">
        <v>1114</v>
      </c>
      <c r="E5" s="208">
        <v>6.0000000000000001E-3</v>
      </c>
      <c r="F5" s="208" t="s">
        <v>1143</v>
      </c>
      <c r="G5" s="208" t="s">
        <v>1144</v>
      </c>
      <c r="H5" s="202" t="s">
        <v>1145</v>
      </c>
      <c r="I5" s="202" t="s">
        <v>1146</v>
      </c>
      <c r="J5" s="202" t="s">
        <v>1147</v>
      </c>
      <c r="K5" s="202" t="s">
        <v>1148</v>
      </c>
      <c r="L5" s="202" t="s">
        <v>1149</v>
      </c>
      <c r="M5" s="202" t="s">
        <v>1150</v>
      </c>
      <c r="N5" s="202" t="s">
        <v>1151</v>
      </c>
      <c r="O5" s="202" t="s">
        <v>1152</v>
      </c>
      <c r="P5" s="202" t="s">
        <v>1153</v>
      </c>
      <c r="Q5" s="202" t="s">
        <v>1154</v>
      </c>
    </row>
    <row r="6" spans="1:18" x14ac:dyDescent="0.25">
      <c r="A6" s="208" t="s">
        <v>1155</v>
      </c>
      <c r="B6" s="208" t="s">
        <v>1156</v>
      </c>
      <c r="C6" s="209">
        <v>1.4020000000000001E-6</v>
      </c>
      <c r="D6" s="208" t="s">
        <v>1114</v>
      </c>
      <c r="E6" s="209">
        <v>1.1599999999999999E-6</v>
      </c>
      <c r="F6" s="208" t="s">
        <v>1143</v>
      </c>
      <c r="G6" s="208" t="s">
        <v>1144</v>
      </c>
      <c r="H6" s="202" t="s">
        <v>1157</v>
      </c>
      <c r="I6" s="202" t="s">
        <v>1158</v>
      </c>
      <c r="J6" s="202" t="s">
        <v>1159</v>
      </c>
      <c r="K6" s="202" t="s">
        <v>1160</v>
      </c>
      <c r="L6" s="202" t="s">
        <v>1161</v>
      </c>
      <c r="M6" s="202" t="s">
        <v>1162</v>
      </c>
      <c r="N6" s="202" t="s">
        <v>1163</v>
      </c>
      <c r="O6" s="202" t="s">
        <v>1164</v>
      </c>
      <c r="P6" s="202" t="s">
        <v>1165</v>
      </c>
      <c r="Q6" s="202" t="s">
        <v>1166</v>
      </c>
    </row>
    <row r="7" spans="1:18" x14ac:dyDescent="0.25">
      <c r="A7" s="208" t="s">
        <v>1167</v>
      </c>
      <c r="B7" s="208" t="s">
        <v>1168</v>
      </c>
      <c r="C7" s="209">
        <v>1.4219999999999999E-6</v>
      </c>
      <c r="D7" s="208" t="s">
        <v>1114</v>
      </c>
      <c r="E7" s="208">
        <v>1E-3</v>
      </c>
      <c r="F7" s="208" t="s">
        <v>1169</v>
      </c>
      <c r="G7" s="208" t="s">
        <v>1170</v>
      </c>
      <c r="H7" s="202" t="s">
        <v>1171</v>
      </c>
      <c r="I7" s="202" t="s">
        <v>1172</v>
      </c>
      <c r="J7" s="202" t="s">
        <v>1173</v>
      </c>
      <c r="K7" s="202" t="s">
        <v>1174</v>
      </c>
      <c r="L7" s="202" t="s">
        <v>1175</v>
      </c>
      <c r="M7" s="202" t="s">
        <v>1176</v>
      </c>
      <c r="N7" s="202" t="s">
        <v>1177</v>
      </c>
      <c r="O7" s="202" t="s">
        <v>1178</v>
      </c>
      <c r="P7" s="202" t="s">
        <v>1179</v>
      </c>
      <c r="Q7" s="202" t="s">
        <v>1180</v>
      </c>
    </row>
    <row r="8" spans="1:18" x14ac:dyDescent="0.25">
      <c r="A8" s="208" t="s">
        <v>1181</v>
      </c>
      <c r="B8" s="208" t="s">
        <v>1182</v>
      </c>
      <c r="C8" s="209">
        <v>2.6929999999999999E-6</v>
      </c>
      <c r="D8" s="208" t="s">
        <v>1183</v>
      </c>
      <c r="E8" s="208">
        <v>6.0000000000000001E-3</v>
      </c>
      <c r="F8" s="208" t="s">
        <v>1115</v>
      </c>
      <c r="G8" s="208" t="s">
        <v>1116</v>
      </c>
      <c r="H8" s="202" t="s">
        <v>1184</v>
      </c>
      <c r="I8" s="202" t="s">
        <v>1185</v>
      </c>
      <c r="J8" s="202" t="s">
        <v>1186</v>
      </c>
      <c r="K8" s="202" t="s">
        <v>1187</v>
      </c>
      <c r="L8" s="202" t="s">
        <v>1188</v>
      </c>
      <c r="M8" s="202" t="s">
        <v>1189</v>
      </c>
      <c r="N8" s="202" t="s">
        <v>1190</v>
      </c>
      <c r="O8" s="202" t="s">
        <v>1191</v>
      </c>
      <c r="P8" s="202" t="s">
        <v>1192</v>
      </c>
      <c r="Q8" s="202" t="s">
        <v>1193</v>
      </c>
    </row>
    <row r="9" spans="1:18" ht="30" x14ac:dyDescent="0.25">
      <c r="A9" s="208" t="s">
        <v>1194</v>
      </c>
      <c r="B9" s="208" t="s">
        <v>1195</v>
      </c>
      <c r="C9" s="209">
        <v>3.512E-6</v>
      </c>
      <c r="D9" s="208" t="s">
        <v>1183</v>
      </c>
      <c r="E9" s="208">
        <v>3.9899999999999999E-4</v>
      </c>
      <c r="F9" s="208" t="s">
        <v>1194</v>
      </c>
      <c r="G9" s="208" t="s">
        <v>1195</v>
      </c>
      <c r="H9" s="202" t="s">
        <v>1196</v>
      </c>
      <c r="I9" s="202" t="s">
        <v>1197</v>
      </c>
      <c r="J9" s="202" t="s">
        <v>1198</v>
      </c>
      <c r="K9" s="202" t="s">
        <v>1199</v>
      </c>
      <c r="L9" s="202" t="s">
        <v>1200</v>
      </c>
      <c r="M9" s="202" t="s">
        <v>1201</v>
      </c>
      <c r="N9" s="202" t="s">
        <v>1202</v>
      </c>
      <c r="O9" s="202" t="s">
        <v>1203</v>
      </c>
      <c r="P9" s="202" t="s">
        <v>1204</v>
      </c>
      <c r="Q9" s="202" t="s">
        <v>1205</v>
      </c>
    </row>
    <row r="10" spans="1:18" ht="30" x14ac:dyDescent="0.25">
      <c r="A10" s="208" t="s">
        <v>1129</v>
      </c>
      <c r="B10" s="208" t="s">
        <v>1130</v>
      </c>
      <c r="C10" s="209">
        <v>4.1529999999999999E-6</v>
      </c>
      <c r="D10" s="208" t="s">
        <v>1183</v>
      </c>
      <c r="E10" s="208">
        <v>2.4699999999999999E-4</v>
      </c>
      <c r="F10" s="208" t="s">
        <v>1129</v>
      </c>
      <c r="G10" s="208" t="s">
        <v>1130</v>
      </c>
      <c r="H10" s="202" t="s">
        <v>1206</v>
      </c>
      <c r="I10" s="202" t="s">
        <v>1207</v>
      </c>
      <c r="J10" s="202" t="s">
        <v>1208</v>
      </c>
      <c r="K10" s="202" t="s">
        <v>1209</v>
      </c>
      <c r="L10" s="202" t="s">
        <v>1210</v>
      </c>
      <c r="M10" s="202" t="s">
        <v>1211</v>
      </c>
      <c r="N10" s="202" t="s">
        <v>1212</v>
      </c>
      <c r="O10" s="202" t="s">
        <v>1213</v>
      </c>
      <c r="P10" s="202" t="s">
        <v>1214</v>
      </c>
      <c r="Q10" s="202" t="s">
        <v>1215</v>
      </c>
    </row>
    <row r="11" spans="1:18" ht="30" x14ac:dyDescent="0.25">
      <c r="A11" s="208" t="s">
        <v>1216</v>
      </c>
      <c r="B11" s="208" t="s">
        <v>1217</v>
      </c>
      <c r="C11" s="209">
        <v>4.5329999999999996E-6</v>
      </c>
      <c r="D11" s="208" t="s">
        <v>1183</v>
      </c>
      <c r="E11" s="208">
        <v>3.0000000000000001E-3</v>
      </c>
      <c r="F11" s="208" t="s">
        <v>1129</v>
      </c>
      <c r="G11" s="208" t="s">
        <v>1130</v>
      </c>
      <c r="H11" s="202" t="s">
        <v>1218</v>
      </c>
      <c r="I11" s="202" t="s">
        <v>1219</v>
      </c>
      <c r="J11" s="202" t="s">
        <v>1220</v>
      </c>
      <c r="K11" s="202" t="s">
        <v>1221</v>
      </c>
      <c r="L11" s="202" t="s">
        <v>1222</v>
      </c>
      <c r="M11" s="202" t="s">
        <v>1223</v>
      </c>
      <c r="N11" s="202" t="s">
        <v>1224</v>
      </c>
      <c r="O11" s="202" t="s">
        <v>1225</v>
      </c>
      <c r="P11" s="202" t="s">
        <v>1226</v>
      </c>
      <c r="Q11" s="202" t="s">
        <v>1227</v>
      </c>
    </row>
    <row r="12" spans="1:18" ht="30" x14ac:dyDescent="0.25">
      <c r="A12" s="208" t="s">
        <v>1228</v>
      </c>
      <c r="B12" s="208" t="s">
        <v>1229</v>
      </c>
      <c r="C12" s="209">
        <v>4.5759999999999999E-6</v>
      </c>
      <c r="D12" s="208" t="s">
        <v>1183</v>
      </c>
      <c r="E12" s="208">
        <v>8.0000000000000002E-3</v>
      </c>
      <c r="F12" s="208" t="s">
        <v>1194</v>
      </c>
      <c r="G12" s="208" t="s">
        <v>1195</v>
      </c>
      <c r="H12" s="202" t="s">
        <v>1230</v>
      </c>
      <c r="I12" s="202" t="s">
        <v>1231</v>
      </c>
      <c r="J12" s="202" t="s">
        <v>1232</v>
      </c>
      <c r="K12" s="202" t="s">
        <v>1233</v>
      </c>
      <c r="L12" s="202" t="s">
        <v>1234</v>
      </c>
      <c r="M12" s="202" t="s">
        <v>1235</v>
      </c>
      <c r="N12" s="202" t="s">
        <v>1236</v>
      </c>
      <c r="O12" s="202" t="s">
        <v>1237</v>
      </c>
      <c r="P12" s="202" t="s">
        <v>1238</v>
      </c>
      <c r="Q12" s="202" t="s">
        <v>1239</v>
      </c>
    </row>
    <row r="13" spans="1:18" x14ac:dyDescent="0.25">
      <c r="A13" s="208" t="s">
        <v>1240</v>
      </c>
      <c r="B13" s="208" t="s">
        <v>1241</v>
      </c>
      <c r="C13" s="209">
        <v>5.0250000000000002E-6</v>
      </c>
      <c r="D13" s="208" t="s">
        <v>1183</v>
      </c>
      <c r="E13" s="208">
        <v>1E-3</v>
      </c>
      <c r="F13" s="208" t="s">
        <v>1242</v>
      </c>
      <c r="G13" s="208" t="s">
        <v>1243</v>
      </c>
      <c r="H13" s="202" t="s">
        <v>1244</v>
      </c>
      <c r="I13" s="202" t="s">
        <v>1245</v>
      </c>
      <c r="J13" s="202" t="s">
        <v>1246</v>
      </c>
      <c r="K13" s="202" t="s">
        <v>1247</v>
      </c>
      <c r="L13" s="202" t="s">
        <v>1248</v>
      </c>
      <c r="M13" s="202" t="s">
        <v>1249</v>
      </c>
      <c r="N13" s="202" t="s">
        <v>1250</v>
      </c>
      <c r="O13" s="202" t="s">
        <v>1251</v>
      </c>
      <c r="P13" s="202" t="s">
        <v>1252</v>
      </c>
      <c r="Q13" s="202" t="s">
        <v>1253</v>
      </c>
    </row>
    <row r="14" spans="1:18" x14ac:dyDescent="0.25">
      <c r="A14" s="208" t="s">
        <v>1254</v>
      </c>
      <c r="B14" s="208" t="s">
        <v>1255</v>
      </c>
      <c r="C14" s="209">
        <v>5.198E-6</v>
      </c>
      <c r="D14" s="208" t="s">
        <v>1183</v>
      </c>
      <c r="E14" s="208">
        <v>0.02</v>
      </c>
      <c r="F14" s="208" t="s">
        <v>1254</v>
      </c>
      <c r="G14" s="208" t="s">
        <v>1255</v>
      </c>
      <c r="H14" s="202" t="s">
        <v>1256</v>
      </c>
      <c r="I14" s="202" t="s">
        <v>1257</v>
      </c>
      <c r="J14" s="202" t="s">
        <v>1258</v>
      </c>
      <c r="K14" s="202" t="s">
        <v>1259</v>
      </c>
      <c r="L14" s="202" t="s">
        <v>1260</v>
      </c>
      <c r="M14" s="202" t="s">
        <v>1261</v>
      </c>
      <c r="N14" s="202" t="s">
        <v>1262</v>
      </c>
      <c r="O14" s="202" t="s">
        <v>1263</v>
      </c>
      <c r="P14" s="202" t="s">
        <v>1264</v>
      </c>
      <c r="Q14" s="202" t="s">
        <v>1265</v>
      </c>
    </row>
    <row r="15" spans="1:18" x14ac:dyDescent="0.25">
      <c r="A15" s="208" t="s">
        <v>1266</v>
      </c>
      <c r="B15" s="208" t="s">
        <v>1267</v>
      </c>
      <c r="C15" s="209">
        <v>5.451E-6</v>
      </c>
      <c r="D15" s="208" t="s">
        <v>1183</v>
      </c>
      <c r="E15" s="208">
        <v>3.0000000000000001E-3</v>
      </c>
      <c r="F15" s="208" t="s">
        <v>1268</v>
      </c>
      <c r="G15" s="208" t="s">
        <v>1269</v>
      </c>
      <c r="H15" s="202" t="s">
        <v>1270</v>
      </c>
      <c r="I15" s="202" t="s">
        <v>1271</v>
      </c>
      <c r="J15" s="202" t="s">
        <v>1272</v>
      </c>
      <c r="K15" s="202" t="s">
        <v>1273</v>
      </c>
      <c r="L15" s="202" t="s">
        <v>1274</v>
      </c>
      <c r="M15" s="202" t="s">
        <v>1275</v>
      </c>
      <c r="N15" s="202" t="s">
        <v>1276</v>
      </c>
      <c r="O15" s="202" t="s">
        <v>1277</v>
      </c>
      <c r="P15" s="202" t="s">
        <v>1278</v>
      </c>
      <c r="Q15" s="202" t="s">
        <v>1279</v>
      </c>
    </row>
    <row r="16" spans="1:18" x14ac:dyDescent="0.25">
      <c r="A16" s="208" t="s">
        <v>1280</v>
      </c>
      <c r="B16" s="208" t="s">
        <v>1281</v>
      </c>
      <c r="C16" s="209">
        <v>5.4790000000000004E-6</v>
      </c>
      <c r="D16" s="208" t="s">
        <v>1183</v>
      </c>
      <c r="E16" s="208">
        <v>0.109</v>
      </c>
      <c r="F16" s="208" t="s">
        <v>1282</v>
      </c>
      <c r="G16" s="208" t="s">
        <v>1283</v>
      </c>
      <c r="H16" s="202" t="s">
        <v>1284</v>
      </c>
      <c r="I16" s="202" t="s">
        <v>1285</v>
      </c>
      <c r="J16" s="202" t="s">
        <v>1286</v>
      </c>
      <c r="K16" s="202" t="s">
        <v>1287</v>
      </c>
      <c r="L16" s="202" t="s">
        <v>1288</v>
      </c>
      <c r="M16" s="202" t="s">
        <v>1289</v>
      </c>
      <c r="N16" s="202" t="s">
        <v>1290</v>
      </c>
      <c r="O16" s="202" t="s">
        <v>1291</v>
      </c>
      <c r="P16" s="202" t="s">
        <v>1292</v>
      </c>
      <c r="Q16" s="202" t="s">
        <v>1293</v>
      </c>
    </row>
    <row r="17" spans="1:18" ht="30" x14ac:dyDescent="0.25">
      <c r="A17" s="208" t="s">
        <v>1294</v>
      </c>
      <c r="B17" s="208" t="s">
        <v>1295</v>
      </c>
      <c r="C17" s="209">
        <v>6.2199999999999997E-6</v>
      </c>
      <c r="D17" s="208" t="s">
        <v>1183</v>
      </c>
      <c r="E17" s="208">
        <v>5.2400000000000005E-4</v>
      </c>
      <c r="F17" s="208" t="s">
        <v>1129</v>
      </c>
      <c r="G17" s="208" t="s">
        <v>1130</v>
      </c>
      <c r="H17" s="202" t="s">
        <v>1296</v>
      </c>
      <c r="I17" s="202" t="s">
        <v>1297</v>
      </c>
      <c r="J17" s="202" t="s">
        <v>1298</v>
      </c>
      <c r="K17" s="202" t="s">
        <v>1299</v>
      </c>
      <c r="L17" s="202" t="s">
        <v>1300</v>
      </c>
      <c r="M17" s="202" t="s">
        <v>1301</v>
      </c>
      <c r="N17" s="202" t="s">
        <v>1302</v>
      </c>
      <c r="O17" s="202" t="s">
        <v>1303</v>
      </c>
      <c r="P17" s="202" t="s">
        <v>1304</v>
      </c>
      <c r="Q17" s="202" t="s">
        <v>1305</v>
      </c>
    </row>
    <row r="18" spans="1:18" ht="30" x14ac:dyDescent="0.25">
      <c r="A18" s="208" t="s">
        <v>1306</v>
      </c>
      <c r="B18" s="208" t="s">
        <v>1307</v>
      </c>
      <c r="C18" s="209">
        <v>1.0740000000000001E-5</v>
      </c>
      <c r="D18" s="208" t="s">
        <v>1183</v>
      </c>
      <c r="E18" s="208">
        <v>4.0000000000000001E-3</v>
      </c>
      <c r="F18" s="208" t="s">
        <v>1268</v>
      </c>
      <c r="G18" s="208" t="s">
        <v>1269</v>
      </c>
      <c r="H18" s="202" t="s">
        <v>1308</v>
      </c>
      <c r="I18" s="202" t="s">
        <v>1309</v>
      </c>
      <c r="J18" s="202" t="s">
        <v>1310</v>
      </c>
      <c r="K18" s="202" t="s">
        <v>1311</v>
      </c>
      <c r="L18" s="202" t="s">
        <v>1312</v>
      </c>
      <c r="M18" s="202" t="s">
        <v>1313</v>
      </c>
      <c r="N18" s="202" t="s">
        <v>1314</v>
      </c>
      <c r="O18" s="202" t="s">
        <v>1315</v>
      </c>
      <c r="P18" s="202" t="s">
        <v>1316</v>
      </c>
      <c r="Q18" s="202" t="s">
        <v>1317</v>
      </c>
    </row>
    <row r="19" spans="1:18" x14ac:dyDescent="0.25">
      <c r="A19" s="208" t="s">
        <v>1318</v>
      </c>
      <c r="B19" s="208" t="s">
        <v>1319</v>
      </c>
      <c r="C19" s="209">
        <v>1.363E-5</v>
      </c>
      <c r="D19" s="208" t="s">
        <v>1183</v>
      </c>
      <c r="E19" s="208">
        <v>1.06E-4</v>
      </c>
      <c r="F19" s="208" t="s">
        <v>1320</v>
      </c>
      <c r="G19" s="208" t="s">
        <v>1321</v>
      </c>
      <c r="H19" s="202" t="s">
        <v>1322</v>
      </c>
      <c r="I19" s="202" t="s">
        <v>1323</v>
      </c>
      <c r="J19" s="202" t="s">
        <v>1324</v>
      </c>
      <c r="K19" s="202" t="s">
        <v>1325</v>
      </c>
      <c r="L19" s="202" t="s">
        <v>1326</v>
      </c>
      <c r="M19" s="202" t="s">
        <v>1327</v>
      </c>
      <c r="N19" s="202" t="s">
        <v>1328</v>
      </c>
      <c r="O19" s="202" t="s">
        <v>1329</v>
      </c>
      <c r="P19" s="202" t="s">
        <v>1330</v>
      </c>
      <c r="Q19" s="202" t="s">
        <v>1331</v>
      </c>
    </row>
    <row r="20" spans="1:18" ht="30" x14ac:dyDescent="0.25">
      <c r="A20" s="208" t="s">
        <v>1332</v>
      </c>
      <c r="B20" s="208" t="s">
        <v>1333</v>
      </c>
      <c r="C20" s="209">
        <v>1.5509999999999999E-5</v>
      </c>
      <c r="D20" s="208" t="s">
        <v>1183</v>
      </c>
      <c r="E20" s="208">
        <v>1.13E-4</v>
      </c>
      <c r="F20" s="208" t="s">
        <v>1129</v>
      </c>
      <c r="G20" s="208" t="s">
        <v>1130</v>
      </c>
      <c r="H20" s="202" t="s">
        <v>1334</v>
      </c>
      <c r="I20" s="202" t="s">
        <v>1335</v>
      </c>
      <c r="J20" s="202" t="s">
        <v>1336</v>
      </c>
      <c r="K20" s="202" t="s">
        <v>1337</v>
      </c>
      <c r="L20" s="202" t="s">
        <v>1338</v>
      </c>
      <c r="M20" s="202" t="s">
        <v>1339</v>
      </c>
      <c r="N20" s="202" t="s">
        <v>1340</v>
      </c>
      <c r="O20" s="202" t="s">
        <v>1341</v>
      </c>
      <c r="P20" s="202" t="s">
        <v>1342</v>
      </c>
      <c r="Q20" s="202" t="s">
        <v>1343</v>
      </c>
    </row>
    <row r="21" spans="1:18" x14ac:dyDescent="0.25">
      <c r="A21" s="208" t="s">
        <v>1344</v>
      </c>
      <c r="B21" s="208" t="s">
        <v>1345</v>
      </c>
      <c r="C21" s="209">
        <v>1.9769999999999999E-5</v>
      </c>
      <c r="D21" s="208" t="s">
        <v>1183</v>
      </c>
      <c r="E21" s="208">
        <v>6.6299999999999996E-4</v>
      </c>
      <c r="F21" s="208" t="s">
        <v>1346</v>
      </c>
      <c r="G21" s="208" t="s">
        <v>1347</v>
      </c>
      <c r="H21" s="202" t="s">
        <v>1348</v>
      </c>
      <c r="I21" s="202" t="s">
        <v>1349</v>
      </c>
      <c r="J21" s="202" t="s">
        <v>1350</v>
      </c>
      <c r="K21" s="202" t="s">
        <v>1351</v>
      </c>
      <c r="L21" s="202" t="s">
        <v>1352</v>
      </c>
      <c r="M21" s="202" t="s">
        <v>1353</v>
      </c>
      <c r="N21" s="202" t="s">
        <v>1354</v>
      </c>
      <c r="O21" s="202" t="s">
        <v>1355</v>
      </c>
      <c r="P21" s="202" t="s">
        <v>1356</v>
      </c>
      <c r="Q21" s="202" t="s">
        <v>1357</v>
      </c>
    </row>
    <row r="22" spans="1:18" ht="30" x14ac:dyDescent="0.25">
      <c r="A22" s="208" t="s">
        <v>1358</v>
      </c>
      <c r="B22" s="208" t="s">
        <v>1359</v>
      </c>
      <c r="C22" s="209">
        <v>2.1480000000000001E-5</v>
      </c>
      <c r="D22" s="208" t="s">
        <v>1183</v>
      </c>
      <c r="E22" s="208">
        <v>0.01</v>
      </c>
      <c r="F22" s="208" t="s">
        <v>1194</v>
      </c>
      <c r="G22" s="208" t="s">
        <v>1195</v>
      </c>
      <c r="H22" s="202" t="s">
        <v>1360</v>
      </c>
      <c r="I22" s="202" t="s">
        <v>1361</v>
      </c>
      <c r="J22" s="202" t="s">
        <v>1362</v>
      </c>
      <c r="K22" s="202" t="s">
        <v>1363</v>
      </c>
      <c r="L22" s="202" t="s">
        <v>1364</v>
      </c>
      <c r="M22" s="202" t="s">
        <v>1365</v>
      </c>
      <c r="N22" s="202" t="s">
        <v>1366</v>
      </c>
      <c r="O22" s="202" t="s">
        <v>1367</v>
      </c>
      <c r="P22" s="202" t="s">
        <v>1368</v>
      </c>
      <c r="Q22" s="202" t="s">
        <v>1369</v>
      </c>
    </row>
    <row r="23" spans="1:18" x14ac:dyDescent="0.25">
      <c r="A23" s="208" t="s">
        <v>1370</v>
      </c>
      <c r="B23" s="208" t="s">
        <v>1371</v>
      </c>
      <c r="C23" s="209">
        <v>2.2459999999999998E-5</v>
      </c>
      <c r="D23" s="208" t="s">
        <v>1183</v>
      </c>
      <c r="E23" s="208">
        <v>3.0000000000000001E-3</v>
      </c>
      <c r="F23" s="208" t="s">
        <v>1115</v>
      </c>
      <c r="G23" s="208" t="s">
        <v>1116</v>
      </c>
      <c r="H23" s="202" t="s">
        <v>1372</v>
      </c>
      <c r="I23" s="202" t="s">
        <v>1373</v>
      </c>
      <c r="J23" s="202" t="s">
        <v>1374</v>
      </c>
      <c r="K23" s="202" t="s">
        <v>1375</v>
      </c>
      <c r="L23" s="202" t="s">
        <v>1376</v>
      </c>
      <c r="M23" s="202" t="s">
        <v>1377</v>
      </c>
      <c r="N23" s="202" t="s">
        <v>1378</v>
      </c>
      <c r="O23" s="202" t="s">
        <v>1379</v>
      </c>
      <c r="P23" s="202" t="s">
        <v>1380</v>
      </c>
      <c r="Q23" s="202" t="s">
        <v>1381</v>
      </c>
    </row>
    <row r="24" spans="1:18" ht="30" x14ac:dyDescent="0.25">
      <c r="A24" s="208" t="s">
        <v>1382</v>
      </c>
      <c r="B24" s="208" t="s">
        <v>1382</v>
      </c>
      <c r="C24" s="209">
        <v>2.4830000000000001E-5</v>
      </c>
      <c r="D24" s="208" t="s">
        <v>1183</v>
      </c>
      <c r="E24" s="208">
        <v>2.9000000000000001E-2</v>
      </c>
      <c r="F24" s="208" t="s">
        <v>1383</v>
      </c>
      <c r="G24" s="208" t="s">
        <v>1384</v>
      </c>
      <c r="H24" s="202" t="s">
        <v>1385</v>
      </c>
      <c r="I24" s="202" t="s">
        <v>1386</v>
      </c>
      <c r="J24" s="202" t="s">
        <v>1387</v>
      </c>
      <c r="K24" s="202" t="s">
        <v>1388</v>
      </c>
      <c r="L24" s="202" t="s">
        <v>1389</v>
      </c>
      <c r="M24" s="202" t="s">
        <v>1390</v>
      </c>
      <c r="N24" s="202" t="s">
        <v>1391</v>
      </c>
      <c r="O24" s="202" t="s">
        <v>1392</v>
      </c>
      <c r="P24" s="202" t="s">
        <v>1393</v>
      </c>
      <c r="Q24" s="202" t="s">
        <v>1394</v>
      </c>
    </row>
    <row r="25" spans="1:18" x14ac:dyDescent="0.25">
      <c r="A25" s="208" t="s">
        <v>1395</v>
      </c>
      <c r="B25" s="208" t="s">
        <v>1396</v>
      </c>
      <c r="C25" s="209">
        <v>2.6190000000000002E-5</v>
      </c>
      <c r="D25" s="208" t="s">
        <v>1183</v>
      </c>
      <c r="E25" s="208">
        <v>0.01</v>
      </c>
      <c r="F25" s="208" t="s">
        <v>1397</v>
      </c>
      <c r="G25" s="208" t="s">
        <v>1398</v>
      </c>
      <c r="H25" s="202" t="s">
        <v>1399</v>
      </c>
      <c r="I25" s="202" t="s">
        <v>1400</v>
      </c>
      <c r="J25" s="202" t="s">
        <v>1401</v>
      </c>
      <c r="K25" s="202" t="s">
        <v>1402</v>
      </c>
      <c r="L25" s="202" t="s">
        <v>1403</v>
      </c>
      <c r="M25" s="202" t="s">
        <v>1404</v>
      </c>
      <c r="N25" s="202" t="s">
        <v>1405</v>
      </c>
      <c r="O25" s="202" t="s">
        <v>1406</v>
      </c>
      <c r="P25" s="202" t="s">
        <v>1407</v>
      </c>
      <c r="Q25" s="202" t="s">
        <v>1408</v>
      </c>
      <c r="R25" s="208" t="s">
        <v>1409</v>
      </c>
    </row>
    <row r="26" spans="1:18" x14ac:dyDescent="0.25">
      <c r="A26" s="208" t="s">
        <v>1410</v>
      </c>
      <c r="B26" s="208" t="s">
        <v>1411</v>
      </c>
      <c r="C26" s="209">
        <v>2.654E-5</v>
      </c>
      <c r="D26" s="208" t="s">
        <v>1183</v>
      </c>
      <c r="E26" s="209">
        <v>2.9499999999999999E-5</v>
      </c>
      <c r="F26" s="208" t="s">
        <v>1412</v>
      </c>
      <c r="G26" s="208" t="s">
        <v>1413</v>
      </c>
      <c r="H26" s="202" t="s">
        <v>1414</v>
      </c>
      <c r="I26" s="202" t="s">
        <v>1415</v>
      </c>
      <c r="J26" s="202" t="s">
        <v>1416</v>
      </c>
      <c r="K26" s="202" t="s">
        <v>1417</v>
      </c>
      <c r="L26" s="202" t="s">
        <v>1418</v>
      </c>
      <c r="M26" s="202" t="s">
        <v>1419</v>
      </c>
      <c r="N26" s="202" t="s">
        <v>1420</v>
      </c>
      <c r="O26" s="202" t="s">
        <v>1421</v>
      </c>
      <c r="P26" s="202" t="s">
        <v>1422</v>
      </c>
      <c r="Q26" s="202" t="s">
        <v>1423</v>
      </c>
    </row>
    <row r="27" spans="1:18" x14ac:dyDescent="0.25">
      <c r="A27" s="208" t="s">
        <v>1424</v>
      </c>
      <c r="B27" s="208" t="s">
        <v>1425</v>
      </c>
      <c r="C27" s="209">
        <v>3.2270000000000001E-5</v>
      </c>
      <c r="D27" s="208" t="s">
        <v>1183</v>
      </c>
      <c r="E27" s="208">
        <v>5.8999999999999997E-2</v>
      </c>
      <c r="F27" s="208" t="s">
        <v>1143</v>
      </c>
      <c r="G27" s="208" t="s">
        <v>1144</v>
      </c>
      <c r="H27" s="202" t="s">
        <v>1426</v>
      </c>
      <c r="I27" s="202" t="s">
        <v>1427</v>
      </c>
      <c r="J27" s="202" t="s">
        <v>1428</v>
      </c>
      <c r="K27" s="202" t="s">
        <v>1429</v>
      </c>
      <c r="L27" s="202" t="s">
        <v>1430</v>
      </c>
      <c r="M27" s="202" t="s">
        <v>1431</v>
      </c>
      <c r="N27" s="202" t="s">
        <v>1432</v>
      </c>
      <c r="O27" s="202" t="s">
        <v>1433</v>
      </c>
      <c r="P27" s="202" t="s">
        <v>1434</v>
      </c>
      <c r="Q27" s="202" t="s">
        <v>1435</v>
      </c>
    </row>
    <row r="28" spans="1:18" x14ac:dyDescent="0.25">
      <c r="A28" s="208" t="s">
        <v>1436</v>
      </c>
      <c r="B28" s="208" t="s">
        <v>1437</v>
      </c>
      <c r="C28" s="209">
        <v>3.235E-5</v>
      </c>
      <c r="D28" s="208" t="s">
        <v>1183</v>
      </c>
      <c r="E28" s="208">
        <v>0.06</v>
      </c>
      <c r="F28" s="208" t="s">
        <v>1438</v>
      </c>
      <c r="G28" s="208" t="s">
        <v>1439</v>
      </c>
      <c r="H28" s="202" t="s">
        <v>1440</v>
      </c>
      <c r="I28" s="202" t="s">
        <v>1441</v>
      </c>
      <c r="J28" s="202" t="s">
        <v>1442</v>
      </c>
      <c r="K28" s="202" t="s">
        <v>1443</v>
      </c>
      <c r="L28" s="202" t="s">
        <v>1444</v>
      </c>
      <c r="M28" s="202" t="s">
        <v>1445</v>
      </c>
      <c r="N28" s="202" t="s">
        <v>1446</v>
      </c>
      <c r="O28" s="202" t="s">
        <v>1447</v>
      </c>
      <c r="P28" s="202" t="s">
        <v>1448</v>
      </c>
      <c r="Q28" s="202" t="s">
        <v>1449</v>
      </c>
    </row>
    <row r="29" spans="1:18" x14ac:dyDescent="0.25">
      <c r="A29" s="208" t="s">
        <v>1450</v>
      </c>
      <c r="B29" s="208" t="s">
        <v>1451</v>
      </c>
      <c r="C29" s="209">
        <v>4.0269999999999999E-5</v>
      </c>
      <c r="D29" s="208" t="s">
        <v>1183</v>
      </c>
      <c r="E29" s="208">
        <v>3.4000000000000002E-2</v>
      </c>
      <c r="F29" s="208" t="s">
        <v>1452</v>
      </c>
      <c r="G29" s="208" t="s">
        <v>1453</v>
      </c>
      <c r="H29" s="202" t="s">
        <v>1454</v>
      </c>
      <c r="I29" s="202" t="s">
        <v>1455</v>
      </c>
      <c r="J29" s="202" t="s">
        <v>1456</v>
      </c>
      <c r="K29" s="202" t="s">
        <v>1457</v>
      </c>
      <c r="L29" s="202" t="s">
        <v>1458</v>
      </c>
      <c r="M29" s="202" t="s">
        <v>1459</v>
      </c>
      <c r="N29" s="202" t="s">
        <v>1460</v>
      </c>
      <c r="O29" s="202" t="s">
        <v>1461</v>
      </c>
      <c r="P29" s="202" t="s">
        <v>1462</v>
      </c>
      <c r="Q29" s="202" t="s">
        <v>1463</v>
      </c>
      <c r="R29" s="208" t="s">
        <v>1409</v>
      </c>
    </row>
    <row r="30" spans="1:18" x14ac:dyDescent="0.25">
      <c r="A30" s="208" t="s">
        <v>1464</v>
      </c>
      <c r="B30" s="208" t="s">
        <v>1465</v>
      </c>
      <c r="C30" s="209">
        <v>4.0750000000000001E-5</v>
      </c>
      <c r="D30" s="208" t="s">
        <v>1183</v>
      </c>
      <c r="E30" s="208">
        <v>0.128</v>
      </c>
      <c r="F30" s="208" t="s">
        <v>1438</v>
      </c>
      <c r="G30" s="208" t="s">
        <v>1439</v>
      </c>
      <c r="H30" s="202" t="s">
        <v>1466</v>
      </c>
      <c r="I30" s="202" t="s">
        <v>1467</v>
      </c>
      <c r="J30" s="202" t="s">
        <v>1468</v>
      </c>
      <c r="K30" s="202" t="s">
        <v>1469</v>
      </c>
      <c r="L30" s="202" t="s">
        <v>1470</v>
      </c>
      <c r="M30" s="202" t="s">
        <v>1471</v>
      </c>
      <c r="N30" s="202" t="s">
        <v>1472</v>
      </c>
      <c r="O30" s="202" t="s">
        <v>1473</v>
      </c>
      <c r="P30" s="202" t="s">
        <v>1474</v>
      </c>
      <c r="Q30" s="202" t="s">
        <v>1475</v>
      </c>
    </row>
    <row r="31" spans="1:18" x14ac:dyDescent="0.25">
      <c r="A31" s="208" t="s">
        <v>1476</v>
      </c>
      <c r="B31" s="208" t="s">
        <v>1477</v>
      </c>
      <c r="C31" s="209">
        <v>4.1780000000000003E-5</v>
      </c>
      <c r="D31" s="208" t="s">
        <v>1183</v>
      </c>
      <c r="E31" s="208">
        <v>8.9999999999999993E-3</v>
      </c>
      <c r="F31" s="208" t="s">
        <v>1478</v>
      </c>
      <c r="G31" s="208" t="s">
        <v>1479</v>
      </c>
      <c r="H31" s="202" t="s">
        <v>1480</v>
      </c>
      <c r="I31" s="202" t="s">
        <v>1481</v>
      </c>
      <c r="J31" s="202" t="s">
        <v>1482</v>
      </c>
      <c r="K31" s="202" t="s">
        <v>1483</v>
      </c>
      <c r="L31" s="202" t="s">
        <v>1484</v>
      </c>
      <c r="M31" s="202" t="s">
        <v>1485</v>
      </c>
      <c r="N31" s="202" t="s">
        <v>1486</v>
      </c>
      <c r="O31" s="202" t="s">
        <v>1487</v>
      </c>
      <c r="P31" s="202" t="s">
        <v>1488</v>
      </c>
      <c r="Q31" s="202" t="s">
        <v>1489</v>
      </c>
    </row>
    <row r="32" spans="1:18" x14ac:dyDescent="0.25">
      <c r="A32" s="208" t="s">
        <v>1490</v>
      </c>
      <c r="B32" s="208" t="s">
        <v>1491</v>
      </c>
      <c r="C32" s="209">
        <v>4.2089999999999999E-5</v>
      </c>
      <c r="D32" s="208" t="s">
        <v>1183</v>
      </c>
      <c r="E32" s="208">
        <v>0.52800000000000002</v>
      </c>
      <c r="F32" s="208" t="s">
        <v>1492</v>
      </c>
      <c r="G32" s="208" t="s">
        <v>1493</v>
      </c>
      <c r="H32" s="202" t="s">
        <v>1494</v>
      </c>
      <c r="I32" s="202" t="s">
        <v>1495</v>
      </c>
      <c r="J32" s="202" t="s">
        <v>1496</v>
      </c>
      <c r="K32" s="202" t="s">
        <v>1497</v>
      </c>
      <c r="L32" s="202" t="s">
        <v>1498</v>
      </c>
      <c r="M32" s="202" t="s">
        <v>1499</v>
      </c>
      <c r="N32" s="202" t="s">
        <v>1500</v>
      </c>
      <c r="O32" s="202" t="s">
        <v>1501</v>
      </c>
      <c r="P32" s="202" t="s">
        <v>1502</v>
      </c>
      <c r="Q32" s="202" t="s">
        <v>1503</v>
      </c>
    </row>
    <row r="33" spans="1:18" x14ac:dyDescent="0.25">
      <c r="A33" s="208" t="s">
        <v>1504</v>
      </c>
      <c r="B33" s="208" t="s">
        <v>1505</v>
      </c>
      <c r="C33" s="209">
        <v>4.2490000000000001E-5</v>
      </c>
      <c r="D33" s="208" t="s">
        <v>1183</v>
      </c>
      <c r="E33" s="209">
        <v>4.6699999999999997E-5</v>
      </c>
      <c r="F33" s="208" t="s">
        <v>1320</v>
      </c>
      <c r="G33" s="208" t="s">
        <v>1321</v>
      </c>
      <c r="H33" s="202" t="s">
        <v>1506</v>
      </c>
      <c r="I33" s="202" t="s">
        <v>1507</v>
      </c>
      <c r="J33" s="202" t="s">
        <v>1508</v>
      </c>
      <c r="K33" s="202" t="s">
        <v>1509</v>
      </c>
      <c r="L33" s="202" t="s">
        <v>1510</v>
      </c>
      <c r="M33" s="202" t="s">
        <v>1511</v>
      </c>
      <c r="N33" s="202" t="s">
        <v>1512</v>
      </c>
      <c r="O33" s="202" t="s">
        <v>1513</v>
      </c>
      <c r="P33" s="202" t="s">
        <v>1514</v>
      </c>
      <c r="Q33" s="202" t="s">
        <v>1515</v>
      </c>
    </row>
    <row r="34" spans="1:18" x14ac:dyDescent="0.25">
      <c r="A34" s="208" t="s">
        <v>1516</v>
      </c>
      <c r="B34" s="208" t="s">
        <v>1517</v>
      </c>
      <c r="C34" s="209">
        <v>4.3350000000000003E-5</v>
      </c>
      <c r="D34" s="208" t="s">
        <v>1183</v>
      </c>
      <c r="E34" s="208">
        <v>3.5000000000000003E-2</v>
      </c>
      <c r="F34" s="208" t="s">
        <v>1518</v>
      </c>
      <c r="G34" s="208" t="s">
        <v>1519</v>
      </c>
      <c r="H34" s="202" t="s">
        <v>1520</v>
      </c>
      <c r="I34" s="202" t="s">
        <v>1521</v>
      </c>
      <c r="J34" s="202" t="s">
        <v>1522</v>
      </c>
      <c r="K34" s="202" t="s">
        <v>1523</v>
      </c>
      <c r="L34" s="202" t="s">
        <v>1524</v>
      </c>
      <c r="M34" s="202" t="s">
        <v>1525</v>
      </c>
      <c r="N34" s="202" t="s">
        <v>1526</v>
      </c>
      <c r="O34" s="202" t="s">
        <v>1527</v>
      </c>
      <c r="P34" s="202" t="s">
        <v>1528</v>
      </c>
      <c r="Q34" s="202" t="s">
        <v>1529</v>
      </c>
    </row>
    <row r="35" spans="1:18" x14ac:dyDescent="0.25">
      <c r="A35" s="208" t="s">
        <v>1320</v>
      </c>
      <c r="B35" s="208" t="s">
        <v>1321</v>
      </c>
      <c r="C35" s="209">
        <v>4.4270000000000001E-5</v>
      </c>
      <c r="D35" s="208" t="s">
        <v>1183</v>
      </c>
      <c r="E35" s="209">
        <v>9.4199999999999999E-5</v>
      </c>
      <c r="F35" s="208" t="s">
        <v>1320</v>
      </c>
      <c r="G35" s="208" t="s">
        <v>1321</v>
      </c>
      <c r="H35" s="202" t="s">
        <v>1530</v>
      </c>
      <c r="I35" s="202" t="s">
        <v>1531</v>
      </c>
      <c r="J35" s="202" t="s">
        <v>1532</v>
      </c>
      <c r="K35" s="202" t="s">
        <v>1533</v>
      </c>
      <c r="L35" s="202" t="s">
        <v>1534</v>
      </c>
      <c r="M35" s="202" t="s">
        <v>1535</v>
      </c>
      <c r="N35" s="202" t="s">
        <v>1536</v>
      </c>
      <c r="O35" s="202" t="s">
        <v>1537</v>
      </c>
      <c r="P35" s="202" t="s">
        <v>1538</v>
      </c>
      <c r="Q35" s="202" t="s">
        <v>1539</v>
      </c>
      <c r="R35" s="208" t="s">
        <v>1409</v>
      </c>
    </row>
    <row r="36" spans="1:18" x14ac:dyDescent="0.25">
      <c r="A36" s="208" t="s">
        <v>1540</v>
      </c>
      <c r="B36" s="208" t="s">
        <v>1541</v>
      </c>
      <c r="C36" s="209">
        <v>4.515E-5</v>
      </c>
      <c r="D36" s="208" t="s">
        <v>1183</v>
      </c>
      <c r="E36" s="208">
        <v>2.8000000000000001E-2</v>
      </c>
      <c r="F36" s="208" t="s">
        <v>1542</v>
      </c>
      <c r="G36" s="208" t="s">
        <v>1543</v>
      </c>
      <c r="H36" s="202" t="s">
        <v>1544</v>
      </c>
      <c r="I36" s="202" t="s">
        <v>1545</v>
      </c>
      <c r="J36" s="202" t="s">
        <v>1546</v>
      </c>
      <c r="K36" s="202" t="s">
        <v>1547</v>
      </c>
      <c r="L36" s="202" t="s">
        <v>1548</v>
      </c>
      <c r="M36" s="202" t="s">
        <v>1549</v>
      </c>
      <c r="N36" s="202" t="s">
        <v>1550</v>
      </c>
      <c r="O36" s="202" t="s">
        <v>1551</v>
      </c>
      <c r="P36" s="202" t="s">
        <v>1552</v>
      </c>
      <c r="Q36" s="202" t="s">
        <v>1553</v>
      </c>
    </row>
    <row r="37" spans="1:18" x14ac:dyDescent="0.25">
      <c r="A37" s="208" t="s">
        <v>1554</v>
      </c>
      <c r="B37" s="208" t="s">
        <v>1555</v>
      </c>
      <c r="C37" s="209">
        <v>5.0489999999999999E-5</v>
      </c>
      <c r="D37" s="208" t="s">
        <v>1183</v>
      </c>
      <c r="E37" s="208">
        <v>2.6600000000000001E-4</v>
      </c>
      <c r="F37" s="208" t="s">
        <v>1143</v>
      </c>
      <c r="G37" s="208" t="s">
        <v>1144</v>
      </c>
      <c r="H37" s="202" t="s">
        <v>1556</v>
      </c>
      <c r="I37" s="202" t="s">
        <v>1557</v>
      </c>
      <c r="J37" s="202" t="s">
        <v>1558</v>
      </c>
      <c r="K37" s="202" t="s">
        <v>1559</v>
      </c>
      <c r="L37" s="202" t="s">
        <v>1560</v>
      </c>
      <c r="M37" s="202" t="s">
        <v>1561</v>
      </c>
      <c r="N37" s="202" t="s">
        <v>1562</v>
      </c>
      <c r="O37" s="202" t="s">
        <v>1563</v>
      </c>
      <c r="P37" s="202" t="s">
        <v>1564</v>
      </c>
      <c r="Q37" s="202" t="s">
        <v>1565</v>
      </c>
    </row>
    <row r="38" spans="1:18" x14ac:dyDescent="0.25">
      <c r="A38" s="208" t="s">
        <v>1566</v>
      </c>
      <c r="B38" s="208" t="s">
        <v>1567</v>
      </c>
      <c r="C38" s="209">
        <v>5.1919999999999998E-5</v>
      </c>
      <c r="D38" s="208" t="s">
        <v>1183</v>
      </c>
      <c r="E38" s="208">
        <v>3.1E-2</v>
      </c>
      <c r="F38" s="208" t="s">
        <v>1568</v>
      </c>
      <c r="G38" s="208" t="s">
        <v>1569</v>
      </c>
      <c r="H38" s="202" t="s">
        <v>1570</v>
      </c>
      <c r="I38" s="202" t="s">
        <v>1571</v>
      </c>
      <c r="J38" s="202" t="s">
        <v>1572</v>
      </c>
      <c r="K38" s="202" t="s">
        <v>1573</v>
      </c>
      <c r="L38" s="202" t="s">
        <v>1574</v>
      </c>
      <c r="M38" s="202" t="s">
        <v>1575</v>
      </c>
      <c r="N38" s="202" t="s">
        <v>1576</v>
      </c>
      <c r="O38" s="202" t="s">
        <v>1577</v>
      </c>
      <c r="P38" s="202" t="s">
        <v>1578</v>
      </c>
      <c r="Q38" s="202" t="s">
        <v>1579</v>
      </c>
    </row>
    <row r="39" spans="1:18" x14ac:dyDescent="0.25">
      <c r="A39" s="208" t="s">
        <v>1580</v>
      </c>
      <c r="B39" s="208" t="s">
        <v>1581</v>
      </c>
      <c r="C39" s="209">
        <v>5.1929999999999999E-5</v>
      </c>
      <c r="D39" s="208" t="s">
        <v>1183</v>
      </c>
      <c r="E39" s="208">
        <v>1.4999999999999999E-2</v>
      </c>
      <c r="F39" s="208" t="s">
        <v>1383</v>
      </c>
      <c r="G39" s="208" t="s">
        <v>1384</v>
      </c>
      <c r="H39" s="202" t="s">
        <v>1582</v>
      </c>
      <c r="I39" s="202" t="s">
        <v>1583</v>
      </c>
      <c r="J39" s="202" t="s">
        <v>1584</v>
      </c>
      <c r="K39" s="202" t="s">
        <v>1585</v>
      </c>
      <c r="L39" s="202" t="s">
        <v>1586</v>
      </c>
      <c r="M39" s="202" t="s">
        <v>1587</v>
      </c>
      <c r="N39" s="202" t="s">
        <v>1588</v>
      </c>
      <c r="O39" s="202" t="s">
        <v>1589</v>
      </c>
      <c r="P39" s="202" t="s">
        <v>1590</v>
      </c>
      <c r="Q39" s="202" t="s">
        <v>1591</v>
      </c>
      <c r="R39" s="208" t="s">
        <v>1409</v>
      </c>
    </row>
    <row r="40" spans="1:18" x14ac:dyDescent="0.25">
      <c r="A40" s="208" t="s">
        <v>1268</v>
      </c>
      <c r="B40" s="208" t="s">
        <v>1269</v>
      </c>
      <c r="C40" s="209">
        <v>5.9209999999999997E-5</v>
      </c>
      <c r="D40" s="208" t="s">
        <v>1183</v>
      </c>
      <c r="E40" s="208">
        <v>4.0000000000000001E-3</v>
      </c>
      <c r="F40" s="208" t="s">
        <v>1268</v>
      </c>
      <c r="G40" s="208" t="s">
        <v>1269</v>
      </c>
      <c r="H40" s="202" t="s">
        <v>1592</v>
      </c>
      <c r="I40" s="202" t="s">
        <v>1593</v>
      </c>
      <c r="J40" s="202" t="s">
        <v>1594</v>
      </c>
      <c r="K40" s="202" t="s">
        <v>1595</v>
      </c>
      <c r="L40" s="202" t="s">
        <v>1596</v>
      </c>
      <c r="M40" s="202" t="s">
        <v>1597</v>
      </c>
      <c r="N40" s="202" t="s">
        <v>1598</v>
      </c>
      <c r="O40" s="202" t="s">
        <v>1599</v>
      </c>
      <c r="P40" s="202" t="s">
        <v>1600</v>
      </c>
      <c r="Q40" s="202" t="s">
        <v>1601</v>
      </c>
    </row>
    <row r="41" spans="1:18" ht="30" x14ac:dyDescent="0.25">
      <c r="A41" s="208" t="s">
        <v>1602</v>
      </c>
      <c r="B41" s="208" t="s">
        <v>1603</v>
      </c>
      <c r="C41" s="209">
        <v>5.9769999999999999E-5</v>
      </c>
      <c r="D41" s="208" t="s">
        <v>1183</v>
      </c>
      <c r="E41" s="208">
        <v>2E-3</v>
      </c>
      <c r="F41" s="208" t="s">
        <v>1129</v>
      </c>
      <c r="G41" s="208" t="s">
        <v>1130</v>
      </c>
      <c r="H41" s="202" t="s">
        <v>1604</v>
      </c>
      <c r="I41" s="202" t="s">
        <v>1605</v>
      </c>
      <c r="J41" s="202" t="s">
        <v>1606</v>
      </c>
      <c r="K41" s="202" t="s">
        <v>1607</v>
      </c>
      <c r="L41" s="202" t="s">
        <v>1608</v>
      </c>
      <c r="M41" s="202" t="s">
        <v>1609</v>
      </c>
      <c r="N41" s="202" t="s">
        <v>1610</v>
      </c>
      <c r="O41" s="202" t="s">
        <v>1611</v>
      </c>
      <c r="P41" s="202" t="s">
        <v>1612</v>
      </c>
      <c r="Q41" s="202" t="s">
        <v>1613</v>
      </c>
    </row>
    <row r="42" spans="1:18" x14ac:dyDescent="0.25">
      <c r="A42" s="208" t="s">
        <v>1614</v>
      </c>
      <c r="B42" s="208" t="s">
        <v>1615</v>
      </c>
      <c r="C42" s="209">
        <v>6.2139999999999998E-5</v>
      </c>
      <c r="D42" s="208" t="s">
        <v>1183</v>
      </c>
      <c r="E42" s="208">
        <v>9.0799999999999995E-4</v>
      </c>
      <c r="F42" s="208" t="s">
        <v>1438</v>
      </c>
      <c r="G42" s="208" t="s">
        <v>1439</v>
      </c>
      <c r="H42" s="202" t="s">
        <v>1616</v>
      </c>
      <c r="I42" s="202" t="s">
        <v>1617</v>
      </c>
      <c r="J42" s="202" t="s">
        <v>1618</v>
      </c>
      <c r="K42" s="202" t="s">
        <v>1619</v>
      </c>
      <c r="L42" s="202" t="s">
        <v>1620</v>
      </c>
      <c r="M42" s="202" t="s">
        <v>1621</v>
      </c>
      <c r="N42" s="202" t="s">
        <v>1622</v>
      </c>
      <c r="O42" s="202" t="s">
        <v>1623</v>
      </c>
      <c r="P42" s="202" t="s">
        <v>1624</v>
      </c>
      <c r="Q42" s="202" t="s">
        <v>1625</v>
      </c>
      <c r="R42" s="208" t="s">
        <v>1409</v>
      </c>
    </row>
    <row r="43" spans="1:18" x14ac:dyDescent="0.25">
      <c r="A43" s="208" t="s">
        <v>1626</v>
      </c>
      <c r="B43" s="208" t="s">
        <v>1627</v>
      </c>
      <c r="C43" s="209">
        <v>6.3139999999999995E-5</v>
      </c>
      <c r="D43" s="208" t="s">
        <v>1183</v>
      </c>
      <c r="E43" s="208">
        <v>1.83E-4</v>
      </c>
      <c r="F43" s="208" t="s">
        <v>1628</v>
      </c>
      <c r="G43" s="208" t="s">
        <v>1629</v>
      </c>
      <c r="H43" s="202" t="s">
        <v>1630</v>
      </c>
      <c r="I43" s="202" t="s">
        <v>1631</v>
      </c>
      <c r="J43" s="202" t="s">
        <v>1632</v>
      </c>
      <c r="K43" s="202" t="s">
        <v>1633</v>
      </c>
      <c r="L43" s="202" t="s">
        <v>1634</v>
      </c>
      <c r="M43" s="202" t="s">
        <v>1635</v>
      </c>
      <c r="N43" s="202" t="s">
        <v>1636</v>
      </c>
      <c r="O43" s="202" t="s">
        <v>1637</v>
      </c>
      <c r="P43" s="202" t="s">
        <v>1638</v>
      </c>
      <c r="Q43" s="202" t="s">
        <v>1639</v>
      </c>
    </row>
    <row r="44" spans="1:18" ht="30" x14ac:dyDescent="0.25">
      <c r="A44" s="208" t="s">
        <v>1640</v>
      </c>
      <c r="B44" s="208" t="s">
        <v>1641</v>
      </c>
      <c r="C44" s="209">
        <v>6.436E-5</v>
      </c>
      <c r="D44" s="208" t="s">
        <v>1183</v>
      </c>
      <c r="E44" s="208">
        <v>8.6200000000000003E-4</v>
      </c>
      <c r="F44" s="208" t="s">
        <v>1194</v>
      </c>
      <c r="G44" s="208" t="s">
        <v>1195</v>
      </c>
      <c r="H44" s="202" t="s">
        <v>1642</v>
      </c>
      <c r="I44" s="202" t="s">
        <v>1643</v>
      </c>
      <c r="J44" s="202" t="s">
        <v>1644</v>
      </c>
      <c r="K44" s="202" t="s">
        <v>1645</v>
      </c>
      <c r="L44" s="202" t="s">
        <v>1646</v>
      </c>
      <c r="M44" s="202" t="s">
        <v>1647</v>
      </c>
      <c r="N44" s="202" t="s">
        <v>1648</v>
      </c>
      <c r="O44" s="202" t="s">
        <v>1649</v>
      </c>
      <c r="P44" s="202" t="s">
        <v>1650</v>
      </c>
      <c r="Q44" s="202" t="s">
        <v>1651</v>
      </c>
    </row>
    <row r="45" spans="1:18" x14ac:dyDescent="0.25">
      <c r="A45" s="208" t="s">
        <v>1652</v>
      </c>
      <c r="B45" s="208" t="s">
        <v>1653</v>
      </c>
      <c r="C45" s="209">
        <v>7.3440000000000002E-5</v>
      </c>
      <c r="D45" s="208" t="s">
        <v>1183</v>
      </c>
      <c r="E45" s="208">
        <v>4.9000000000000002E-2</v>
      </c>
      <c r="F45" s="208" t="s">
        <v>1383</v>
      </c>
      <c r="G45" s="208" t="s">
        <v>1384</v>
      </c>
      <c r="H45" s="202" t="s">
        <v>1654</v>
      </c>
      <c r="I45" s="202" t="s">
        <v>1655</v>
      </c>
      <c r="J45" s="202" t="s">
        <v>1656</v>
      </c>
      <c r="K45" s="202" t="s">
        <v>1657</v>
      </c>
      <c r="L45" s="202" t="s">
        <v>1658</v>
      </c>
      <c r="M45" s="202" t="s">
        <v>1659</v>
      </c>
      <c r="N45" s="202" t="s">
        <v>1660</v>
      </c>
      <c r="O45" s="202" t="s">
        <v>1661</v>
      </c>
      <c r="P45" s="202" t="s">
        <v>1662</v>
      </c>
      <c r="Q45" s="202" t="s">
        <v>1663</v>
      </c>
      <c r="R45" s="208" t="s">
        <v>1409</v>
      </c>
    </row>
    <row r="46" spans="1:18" x14ac:dyDescent="0.25">
      <c r="A46" s="208" t="s">
        <v>1664</v>
      </c>
      <c r="B46" s="208" t="s">
        <v>1665</v>
      </c>
      <c r="C46" s="209">
        <v>7.6959999999999995E-5</v>
      </c>
      <c r="D46" s="208" t="s">
        <v>1183</v>
      </c>
      <c r="E46" s="208">
        <v>4.7399999999999997E-4</v>
      </c>
      <c r="F46" s="208" t="s">
        <v>1666</v>
      </c>
      <c r="G46" s="208" t="s">
        <v>1667</v>
      </c>
      <c r="H46" s="202" t="s">
        <v>1668</v>
      </c>
      <c r="I46" s="202" t="s">
        <v>1669</v>
      </c>
      <c r="J46" s="202" t="s">
        <v>1670</v>
      </c>
      <c r="K46" s="202" t="s">
        <v>1671</v>
      </c>
      <c r="L46" s="202" t="s">
        <v>1672</v>
      </c>
      <c r="M46" s="202" t="s">
        <v>1673</v>
      </c>
      <c r="N46" s="202" t="s">
        <v>1674</v>
      </c>
      <c r="O46" s="202" t="s">
        <v>1675</v>
      </c>
      <c r="P46" s="202" t="s">
        <v>1676</v>
      </c>
      <c r="Q46" s="202" t="s">
        <v>1677</v>
      </c>
    </row>
    <row r="47" spans="1:18" ht="30" x14ac:dyDescent="0.25">
      <c r="A47" s="208" t="s">
        <v>1678</v>
      </c>
      <c r="B47" s="208" t="s">
        <v>1679</v>
      </c>
      <c r="C47" s="209">
        <v>7.8759999999999998E-5</v>
      </c>
      <c r="D47" s="208" t="s">
        <v>1183</v>
      </c>
      <c r="E47" s="208">
        <v>7.0000000000000001E-3</v>
      </c>
      <c r="F47" s="208" t="s">
        <v>1194</v>
      </c>
      <c r="G47" s="208" t="s">
        <v>1195</v>
      </c>
      <c r="H47" s="202" t="s">
        <v>1680</v>
      </c>
      <c r="I47" s="202" t="s">
        <v>1681</v>
      </c>
      <c r="J47" s="202" t="s">
        <v>1682</v>
      </c>
      <c r="K47" s="202" t="s">
        <v>1683</v>
      </c>
      <c r="L47" s="202" t="s">
        <v>1684</v>
      </c>
      <c r="M47" s="202" t="s">
        <v>1685</v>
      </c>
      <c r="N47" s="202" t="s">
        <v>1686</v>
      </c>
      <c r="O47" s="202" t="s">
        <v>1687</v>
      </c>
      <c r="P47" s="202" t="s">
        <v>1688</v>
      </c>
      <c r="Q47" s="202" t="s">
        <v>1689</v>
      </c>
    </row>
    <row r="48" spans="1:18" x14ac:dyDescent="0.25">
      <c r="A48" s="208" t="s">
        <v>1690</v>
      </c>
      <c r="B48" s="208" t="s">
        <v>1691</v>
      </c>
      <c r="C48" s="209">
        <v>7.9099999999999998E-5</v>
      </c>
      <c r="D48" s="208" t="s">
        <v>1183</v>
      </c>
      <c r="E48" s="208">
        <v>0.14099999999999999</v>
      </c>
      <c r="F48" s="208" t="s">
        <v>1542</v>
      </c>
      <c r="G48" s="208" t="s">
        <v>1543</v>
      </c>
      <c r="H48" s="202" t="s">
        <v>1692</v>
      </c>
      <c r="I48" s="202" t="s">
        <v>1693</v>
      </c>
      <c r="J48" s="202" t="s">
        <v>1694</v>
      </c>
      <c r="K48" s="202" t="s">
        <v>1695</v>
      </c>
      <c r="L48" s="202" t="s">
        <v>1696</v>
      </c>
      <c r="M48" s="202" t="s">
        <v>1697</v>
      </c>
      <c r="N48" s="202" t="s">
        <v>1698</v>
      </c>
      <c r="O48" s="202" t="s">
        <v>1699</v>
      </c>
      <c r="P48" s="202" t="s">
        <v>1700</v>
      </c>
      <c r="Q48" s="202" t="s">
        <v>1701</v>
      </c>
    </row>
    <row r="49" spans="1:18" x14ac:dyDescent="0.25">
      <c r="A49" s="208" t="s">
        <v>1702</v>
      </c>
      <c r="B49" s="208" t="s">
        <v>1703</v>
      </c>
      <c r="C49" s="209">
        <v>7.9660000000000006E-5</v>
      </c>
      <c r="D49" s="208" t="s">
        <v>1183</v>
      </c>
      <c r="E49" s="208">
        <v>3.2000000000000001E-2</v>
      </c>
      <c r="F49" s="208" t="s">
        <v>1143</v>
      </c>
      <c r="G49" s="208" t="s">
        <v>1144</v>
      </c>
      <c r="H49" s="202" t="s">
        <v>1704</v>
      </c>
      <c r="I49" s="202" t="s">
        <v>1705</v>
      </c>
      <c r="J49" s="202" t="s">
        <v>1706</v>
      </c>
      <c r="K49" s="202" t="s">
        <v>1707</v>
      </c>
      <c r="L49" s="202" t="s">
        <v>1708</v>
      </c>
      <c r="M49" s="202" t="s">
        <v>1709</v>
      </c>
      <c r="N49" s="202" t="s">
        <v>1710</v>
      </c>
      <c r="O49" s="202" t="s">
        <v>1711</v>
      </c>
      <c r="P49" s="202" t="s">
        <v>1712</v>
      </c>
      <c r="Q49" s="202" t="s">
        <v>1713</v>
      </c>
    </row>
    <row r="50" spans="1:18" x14ac:dyDescent="0.25">
      <c r="A50" s="208" t="s">
        <v>1714</v>
      </c>
      <c r="B50" s="208" t="s">
        <v>1715</v>
      </c>
      <c r="C50" s="209">
        <v>7.9709999999999994E-5</v>
      </c>
      <c r="D50" s="208" t="s">
        <v>1183</v>
      </c>
      <c r="E50" s="208">
        <v>2.1999999999999999E-2</v>
      </c>
      <c r="F50" s="208" t="s">
        <v>1714</v>
      </c>
      <c r="G50" s="208" t="s">
        <v>1715</v>
      </c>
      <c r="H50" s="202" t="s">
        <v>1716</v>
      </c>
      <c r="I50" s="202" t="s">
        <v>1717</v>
      </c>
      <c r="J50" s="202" t="s">
        <v>1718</v>
      </c>
      <c r="K50" s="202" t="s">
        <v>1719</v>
      </c>
      <c r="L50" s="202" t="s">
        <v>1720</v>
      </c>
      <c r="M50" s="202" t="s">
        <v>1721</v>
      </c>
      <c r="N50" s="202" t="s">
        <v>1722</v>
      </c>
      <c r="O50" s="202" t="s">
        <v>1723</v>
      </c>
      <c r="P50" s="202" t="s">
        <v>1724</v>
      </c>
      <c r="Q50" s="202" t="s">
        <v>1725</v>
      </c>
    </row>
    <row r="51" spans="1:18" x14ac:dyDescent="0.25">
      <c r="A51" s="208" t="s">
        <v>1726</v>
      </c>
      <c r="B51" s="208" t="s">
        <v>1715</v>
      </c>
      <c r="C51" s="209">
        <v>7.9709999999999994E-5</v>
      </c>
      <c r="D51" s="208" t="s">
        <v>1183</v>
      </c>
      <c r="E51" s="208">
        <v>2.1999999999999999E-2</v>
      </c>
      <c r="F51" s="208" t="s">
        <v>1714</v>
      </c>
      <c r="G51" s="208" t="s">
        <v>1715</v>
      </c>
      <c r="H51" s="202" t="s">
        <v>1716</v>
      </c>
      <c r="I51" s="202" t="s">
        <v>1717</v>
      </c>
      <c r="J51" s="202" t="s">
        <v>1718</v>
      </c>
      <c r="K51" s="202" t="s">
        <v>1719</v>
      </c>
      <c r="L51" s="202" t="s">
        <v>1720</v>
      </c>
      <c r="M51" s="202" t="s">
        <v>1721</v>
      </c>
      <c r="N51" s="202" t="s">
        <v>1722</v>
      </c>
      <c r="O51" s="202" t="s">
        <v>1723</v>
      </c>
      <c r="P51" s="202" t="s">
        <v>1724</v>
      </c>
      <c r="Q51" s="202" t="s">
        <v>1725</v>
      </c>
    </row>
    <row r="52" spans="1:18" x14ac:dyDescent="0.25">
      <c r="A52" s="208" t="s">
        <v>1727</v>
      </c>
      <c r="B52" s="208" t="s">
        <v>1715</v>
      </c>
      <c r="C52" s="209">
        <v>7.9709999999999994E-5</v>
      </c>
      <c r="D52" s="208" t="s">
        <v>1183</v>
      </c>
      <c r="E52" s="208">
        <v>2.1999999999999999E-2</v>
      </c>
      <c r="F52" s="208" t="s">
        <v>1714</v>
      </c>
      <c r="G52" s="208" t="s">
        <v>1715</v>
      </c>
      <c r="H52" s="202" t="s">
        <v>1716</v>
      </c>
      <c r="I52" s="202" t="s">
        <v>1717</v>
      </c>
      <c r="J52" s="202" t="s">
        <v>1718</v>
      </c>
      <c r="K52" s="202" t="s">
        <v>1719</v>
      </c>
      <c r="L52" s="202" t="s">
        <v>1720</v>
      </c>
      <c r="M52" s="202" t="s">
        <v>1721</v>
      </c>
      <c r="N52" s="202" t="s">
        <v>1722</v>
      </c>
      <c r="O52" s="202" t="s">
        <v>1723</v>
      </c>
      <c r="P52" s="202" t="s">
        <v>1724</v>
      </c>
      <c r="Q52" s="202" t="s">
        <v>1725</v>
      </c>
    </row>
    <row r="53" spans="1:18" x14ac:dyDescent="0.25">
      <c r="A53" s="208" t="s">
        <v>1143</v>
      </c>
      <c r="B53" s="208" t="s">
        <v>1144</v>
      </c>
      <c r="C53" s="209">
        <v>8.7299999999999994E-5</v>
      </c>
      <c r="D53" s="208" t="s">
        <v>1183</v>
      </c>
      <c r="E53" s="208">
        <v>1.6E-2</v>
      </c>
      <c r="F53" s="208" t="s">
        <v>1143</v>
      </c>
      <c r="G53" s="208" t="s">
        <v>1144</v>
      </c>
      <c r="H53" s="202" t="s">
        <v>1728</v>
      </c>
      <c r="I53" s="202" t="s">
        <v>1729</v>
      </c>
      <c r="J53" s="202" t="s">
        <v>1730</v>
      </c>
      <c r="K53" s="202" t="s">
        <v>1731</v>
      </c>
      <c r="L53" s="202" t="s">
        <v>1732</v>
      </c>
      <c r="M53" s="202" t="s">
        <v>1733</v>
      </c>
      <c r="N53" s="202" t="s">
        <v>1734</v>
      </c>
      <c r="O53" s="202" t="s">
        <v>1735</v>
      </c>
      <c r="P53" s="202" t="s">
        <v>1736</v>
      </c>
      <c r="Q53" s="202" t="s">
        <v>1737</v>
      </c>
    </row>
    <row r="54" spans="1:18" x14ac:dyDescent="0.25">
      <c r="A54" s="208" t="s">
        <v>1738</v>
      </c>
      <c r="B54" s="208" t="s">
        <v>1739</v>
      </c>
      <c r="C54" s="209">
        <v>8.9619999999999999E-5</v>
      </c>
      <c r="D54" s="208" t="s">
        <v>1183</v>
      </c>
      <c r="E54" s="208">
        <v>5.0000000000000001E-3</v>
      </c>
      <c r="F54" s="208" t="s">
        <v>1397</v>
      </c>
      <c r="G54" s="208" t="s">
        <v>1398</v>
      </c>
      <c r="H54" s="202" t="s">
        <v>1740</v>
      </c>
      <c r="I54" s="202" t="s">
        <v>1741</v>
      </c>
      <c r="J54" s="202" t="s">
        <v>1742</v>
      </c>
      <c r="K54" s="202" t="s">
        <v>1743</v>
      </c>
      <c r="L54" s="202" t="s">
        <v>1744</v>
      </c>
      <c r="M54" s="202" t="s">
        <v>1745</v>
      </c>
      <c r="N54" s="202" t="s">
        <v>1746</v>
      </c>
      <c r="O54" s="202" t="s">
        <v>1747</v>
      </c>
      <c r="P54" s="202" t="s">
        <v>1748</v>
      </c>
      <c r="Q54" s="202" t="s">
        <v>1749</v>
      </c>
    </row>
    <row r="55" spans="1:18" x14ac:dyDescent="0.25">
      <c r="A55" s="208" t="s">
        <v>1750</v>
      </c>
      <c r="B55" s="208" t="s">
        <v>1751</v>
      </c>
      <c r="C55" s="209">
        <v>9.1920000000000001E-5</v>
      </c>
      <c r="D55" s="208" t="s">
        <v>1183</v>
      </c>
      <c r="E55" s="208">
        <v>3.2000000000000001E-2</v>
      </c>
      <c r="F55" s="208" t="s">
        <v>1320</v>
      </c>
      <c r="G55" s="208" t="s">
        <v>1321</v>
      </c>
      <c r="H55" s="202" t="s">
        <v>1752</v>
      </c>
      <c r="I55" s="202" t="s">
        <v>1753</v>
      </c>
      <c r="J55" s="202" t="s">
        <v>1754</v>
      </c>
      <c r="K55" s="202" t="s">
        <v>1755</v>
      </c>
      <c r="L55" s="202" t="s">
        <v>1756</v>
      </c>
      <c r="M55" s="202" t="s">
        <v>1757</v>
      </c>
      <c r="N55" s="202" t="s">
        <v>1758</v>
      </c>
      <c r="O55" s="202" t="s">
        <v>1759</v>
      </c>
      <c r="P55" s="202" t="s">
        <v>1760</v>
      </c>
      <c r="Q55" s="202" t="s">
        <v>1761</v>
      </c>
      <c r="R55" s="208" t="s">
        <v>1409</v>
      </c>
    </row>
    <row r="56" spans="1:18" x14ac:dyDescent="0.25">
      <c r="A56" s="208" t="s">
        <v>1762</v>
      </c>
      <c r="B56" s="208" t="s">
        <v>1763</v>
      </c>
      <c r="C56" s="209">
        <v>9.6609999999999998E-5</v>
      </c>
      <c r="D56" s="208" t="s">
        <v>1183</v>
      </c>
      <c r="E56" s="208">
        <v>9.19E-4</v>
      </c>
      <c r="F56" s="208" t="s">
        <v>1764</v>
      </c>
      <c r="G56" s="208" t="s">
        <v>1765</v>
      </c>
      <c r="H56" s="202" t="s">
        <v>1766</v>
      </c>
      <c r="I56" s="202" t="s">
        <v>1767</v>
      </c>
      <c r="J56" s="202" t="s">
        <v>1768</v>
      </c>
      <c r="K56" s="202" t="s">
        <v>1769</v>
      </c>
      <c r="L56" s="202" t="s">
        <v>1770</v>
      </c>
      <c r="M56" s="202" t="s">
        <v>1771</v>
      </c>
      <c r="N56" s="202" t="s">
        <v>1772</v>
      </c>
      <c r="O56" s="202" t="s">
        <v>1773</v>
      </c>
      <c r="P56" s="202" t="s">
        <v>1774</v>
      </c>
      <c r="Q56" s="202" t="s">
        <v>1775</v>
      </c>
    </row>
    <row r="57" spans="1:18" ht="30" x14ac:dyDescent="0.25">
      <c r="A57" s="208" t="s">
        <v>1776</v>
      </c>
      <c r="B57" s="208" t="s">
        <v>1777</v>
      </c>
      <c r="C57" s="208">
        <v>1.011E-4</v>
      </c>
      <c r="D57" s="208" t="s">
        <v>1183</v>
      </c>
      <c r="E57" s="208">
        <v>1.7999999999999999E-2</v>
      </c>
      <c r="F57" s="208" t="s">
        <v>1115</v>
      </c>
      <c r="G57" s="208" t="s">
        <v>1116</v>
      </c>
      <c r="H57" s="202" t="s">
        <v>1778</v>
      </c>
      <c r="I57" s="202" t="s">
        <v>1779</v>
      </c>
      <c r="J57" s="202" t="s">
        <v>1780</v>
      </c>
      <c r="K57" s="202" t="s">
        <v>1781</v>
      </c>
      <c r="L57" s="202" t="s">
        <v>1782</v>
      </c>
      <c r="M57" s="202" t="s">
        <v>1783</v>
      </c>
      <c r="N57" s="202" t="s">
        <v>1784</v>
      </c>
      <c r="O57" s="202" t="s">
        <v>1785</v>
      </c>
      <c r="P57" s="202" t="s">
        <v>1786</v>
      </c>
      <c r="Q57" s="202" t="s">
        <v>1787</v>
      </c>
    </row>
    <row r="58" spans="1:18" x14ac:dyDescent="0.25">
      <c r="A58" s="210" t="s">
        <v>1788</v>
      </c>
      <c r="B58" s="210" t="s">
        <v>1789</v>
      </c>
      <c r="C58" s="210">
        <v>1.0679999999999999E-4</v>
      </c>
      <c r="D58" s="210" t="s">
        <v>1183</v>
      </c>
      <c r="E58" s="210">
        <v>6.0000000000000001E-3</v>
      </c>
      <c r="F58" s="210" t="s">
        <v>1790</v>
      </c>
      <c r="G58" s="210" t="s">
        <v>1791</v>
      </c>
      <c r="H58" s="204" t="s">
        <v>1792</v>
      </c>
      <c r="I58" s="204" t="s">
        <v>1793</v>
      </c>
      <c r="J58" s="204" t="s">
        <v>1794</v>
      </c>
      <c r="K58" s="204" t="s">
        <v>1795</v>
      </c>
      <c r="L58" s="204" t="s">
        <v>1796</v>
      </c>
      <c r="M58" s="204" t="s">
        <v>1797</v>
      </c>
      <c r="N58" s="204" t="s">
        <v>1798</v>
      </c>
      <c r="O58" s="204" t="s">
        <v>1799</v>
      </c>
      <c r="P58" s="204" t="s">
        <v>1800</v>
      </c>
      <c r="Q58" s="204" t="s">
        <v>1801</v>
      </c>
      <c r="R58" s="210" t="s">
        <v>1409</v>
      </c>
    </row>
    <row r="59" spans="1:18" x14ac:dyDescent="0.25">
      <c r="A59" s="211" t="s">
        <v>1802</v>
      </c>
      <c r="B59" s="211" t="s">
        <v>1803</v>
      </c>
      <c r="C59" s="211">
        <v>1.1069999999999999E-4</v>
      </c>
      <c r="D59" s="211" t="s">
        <v>1183</v>
      </c>
      <c r="E59" s="211">
        <v>3.4000000000000002E-2</v>
      </c>
      <c r="F59" s="211" t="s">
        <v>1802</v>
      </c>
      <c r="G59" s="211" t="s">
        <v>1803</v>
      </c>
      <c r="H59" s="205" t="s">
        <v>1804</v>
      </c>
      <c r="I59" s="205" t="s">
        <v>1805</v>
      </c>
      <c r="J59" s="205" t="s">
        <v>1806</v>
      </c>
      <c r="K59" s="205" t="s">
        <v>1807</v>
      </c>
      <c r="L59" s="205" t="s">
        <v>1808</v>
      </c>
      <c r="M59" s="205" t="s">
        <v>1809</v>
      </c>
      <c r="N59" s="205" t="s">
        <v>1810</v>
      </c>
      <c r="O59" s="205" t="s">
        <v>1811</v>
      </c>
      <c r="P59" s="205" t="s">
        <v>1812</v>
      </c>
      <c r="Q59" s="205" t="s">
        <v>1813</v>
      </c>
      <c r="R59" s="211"/>
    </row>
    <row r="60" spans="1:18" s="206" customFormat="1" x14ac:dyDescent="0.25">
      <c r="A60" s="214" t="s">
        <v>1814</v>
      </c>
      <c r="B60" s="212"/>
      <c r="C60" s="212"/>
      <c r="D60" s="212"/>
      <c r="E60" s="212"/>
      <c r="F60" s="212"/>
      <c r="G60" s="212"/>
      <c r="R60" s="212"/>
    </row>
    <row r="61" spans="1:18" x14ac:dyDescent="0.25">
      <c r="A61" s="215" t="s">
        <v>1815</v>
      </c>
    </row>
    <row r="62" spans="1:18" s="206" customFormat="1" x14ac:dyDescent="0.25">
      <c r="A62" s="216" t="s">
        <v>1816</v>
      </c>
      <c r="B62" s="212"/>
      <c r="C62" s="212"/>
      <c r="D62" s="212"/>
      <c r="E62" s="212"/>
      <c r="F62" s="212"/>
      <c r="G62" s="212"/>
      <c r="R62" s="212"/>
    </row>
    <row r="63" spans="1:18" s="206" customFormat="1" x14ac:dyDescent="0.25">
      <c r="A63" s="215" t="s">
        <v>1817</v>
      </c>
      <c r="B63" s="212"/>
      <c r="C63" s="212"/>
      <c r="D63" s="212"/>
      <c r="E63" s="212"/>
      <c r="F63" s="212"/>
      <c r="G63" s="212"/>
      <c r="R63" s="212"/>
    </row>
    <row r="64" spans="1:18" s="206" customFormat="1" x14ac:dyDescent="0.25">
      <c r="A64" s="217" t="s">
        <v>1818</v>
      </c>
      <c r="B64" s="212"/>
      <c r="C64" s="212"/>
      <c r="D64" s="212"/>
      <c r="E64" s="212"/>
      <c r="F64" s="212"/>
      <c r="G64" s="212"/>
      <c r="R64" s="212"/>
    </row>
    <row r="65" spans="1:1" x14ac:dyDescent="0.25">
      <c r="A65" s="218"/>
    </row>
  </sheetData>
  <phoneticPr fontId="101" type="noConversion"/>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7"/>
  <sheetViews>
    <sheetView workbookViewId="0">
      <selection activeCell="D7" sqref="D7"/>
    </sheetView>
  </sheetViews>
  <sheetFormatPr defaultColWidth="12.28515625" defaultRowHeight="15" x14ac:dyDescent="0.25"/>
  <cols>
    <col min="1" max="1" width="19.28515625" style="644" bestFit="1" customWidth="1"/>
    <col min="2" max="2" width="52.7109375" style="645" bestFit="1" customWidth="1"/>
    <col min="3" max="3" width="16.28515625" style="645" bestFit="1" customWidth="1"/>
    <col min="4" max="4" width="19.7109375" style="645" bestFit="1" customWidth="1"/>
    <col min="5" max="5" width="16.140625" style="645" bestFit="1" customWidth="1"/>
    <col min="6" max="6" width="17.28515625" style="645" bestFit="1" customWidth="1"/>
    <col min="7" max="7" width="52.7109375" style="645" bestFit="1" customWidth="1"/>
    <col min="8" max="17" width="21.28515625" style="644" customWidth="1"/>
    <col min="18" max="18" width="21.28515625" style="645" customWidth="1"/>
    <col min="19" max="16384" width="12.28515625" style="644"/>
  </cols>
  <sheetData>
    <row r="1" spans="1:18" ht="27" customHeight="1" x14ac:dyDescent="0.25">
      <c r="A1" s="371" t="s">
        <v>5578</v>
      </c>
      <c r="G1" s="922"/>
    </row>
    <row r="2" spans="1:18" s="203" customFormat="1" ht="33.6" customHeight="1" thickBot="1" x14ac:dyDescent="0.3">
      <c r="A2" s="207" t="s">
        <v>1094</v>
      </c>
      <c r="B2" s="207" t="s">
        <v>1095</v>
      </c>
      <c r="C2" s="207" t="s">
        <v>1819</v>
      </c>
      <c r="D2" s="207" t="s">
        <v>1097</v>
      </c>
      <c r="E2" s="207" t="s">
        <v>1098</v>
      </c>
      <c r="F2" s="207" t="s">
        <v>1099</v>
      </c>
      <c r="G2" s="207" t="s">
        <v>1100</v>
      </c>
      <c r="H2" s="207" t="s">
        <v>1101</v>
      </c>
      <c r="I2" s="207" t="s">
        <v>1102</v>
      </c>
      <c r="J2" s="207" t="s">
        <v>1103</v>
      </c>
      <c r="K2" s="207" t="s">
        <v>1104</v>
      </c>
      <c r="L2" s="207" t="s">
        <v>1105</v>
      </c>
      <c r="M2" s="207" t="s">
        <v>1106</v>
      </c>
      <c r="N2" s="207" t="s">
        <v>1107</v>
      </c>
      <c r="O2" s="207" t="s">
        <v>1108</v>
      </c>
      <c r="P2" s="207" t="s">
        <v>1109</v>
      </c>
      <c r="Q2" s="207" t="s">
        <v>1110</v>
      </c>
      <c r="R2" s="207" t="s">
        <v>1111</v>
      </c>
    </row>
    <row r="3" spans="1:18" ht="15.75" thickTop="1" x14ac:dyDescent="0.25">
      <c r="A3" s="644" t="s">
        <v>1141</v>
      </c>
      <c r="B3" s="645" t="s">
        <v>1142</v>
      </c>
      <c r="C3" s="923">
        <v>1.4460000000000001E-7</v>
      </c>
      <c r="D3" s="645" t="s">
        <v>1183</v>
      </c>
      <c r="E3" s="645">
        <v>6.0000000000000001E-3</v>
      </c>
      <c r="F3" s="645" t="s">
        <v>1143</v>
      </c>
      <c r="G3" s="645" t="s">
        <v>1144</v>
      </c>
      <c r="H3" s="644" t="s">
        <v>1145</v>
      </c>
      <c r="I3" s="644" t="s">
        <v>1146</v>
      </c>
      <c r="J3" s="644" t="s">
        <v>1147</v>
      </c>
      <c r="K3" s="644" t="s">
        <v>1148</v>
      </c>
      <c r="L3" s="644" t="s">
        <v>1149</v>
      </c>
      <c r="M3" s="644" t="s">
        <v>1151</v>
      </c>
      <c r="N3" s="644" t="s">
        <v>1152</v>
      </c>
      <c r="O3" s="644" t="s">
        <v>1153</v>
      </c>
      <c r="P3" s="644" t="s">
        <v>1154</v>
      </c>
      <c r="Q3" s="644" t="s">
        <v>1820</v>
      </c>
    </row>
    <row r="4" spans="1:18" x14ac:dyDescent="0.25">
      <c r="A4" s="644" t="s">
        <v>1127</v>
      </c>
      <c r="B4" s="645" t="s">
        <v>1128</v>
      </c>
      <c r="C4" s="923">
        <v>2.1120000000000001E-7</v>
      </c>
      <c r="D4" s="645" t="s">
        <v>1183</v>
      </c>
      <c r="E4" s="923">
        <v>3.2100000000000001E-5</v>
      </c>
      <c r="F4" s="645" t="s">
        <v>1129</v>
      </c>
      <c r="G4" s="645" t="s">
        <v>1130</v>
      </c>
      <c r="H4" s="644" t="s">
        <v>1131</v>
      </c>
      <c r="I4" s="644" t="s">
        <v>1132</v>
      </c>
      <c r="J4" s="644" t="s">
        <v>1134</v>
      </c>
      <c r="K4" s="644" t="s">
        <v>1135</v>
      </c>
      <c r="L4" s="644" t="s">
        <v>1136</v>
      </c>
      <c r="M4" s="644" t="s">
        <v>1137</v>
      </c>
      <c r="N4" s="644" t="s">
        <v>1139</v>
      </c>
      <c r="O4" s="644" t="s">
        <v>1140</v>
      </c>
      <c r="P4" s="644" t="s">
        <v>1821</v>
      </c>
      <c r="Q4" s="644" t="s">
        <v>1822</v>
      </c>
    </row>
    <row r="5" spans="1:18" x14ac:dyDescent="0.25">
      <c r="A5" s="644" t="s">
        <v>1436</v>
      </c>
      <c r="B5" s="645" t="s">
        <v>1437</v>
      </c>
      <c r="C5" s="923">
        <v>1.477E-6</v>
      </c>
      <c r="D5" s="645" t="s">
        <v>1183</v>
      </c>
      <c r="E5" s="645">
        <v>0.06</v>
      </c>
      <c r="F5" s="645" t="s">
        <v>1438</v>
      </c>
      <c r="G5" s="645" t="s">
        <v>1439</v>
      </c>
      <c r="H5" s="644" t="s">
        <v>1440</v>
      </c>
      <c r="I5" s="644" t="s">
        <v>1441</v>
      </c>
      <c r="J5" s="644" t="s">
        <v>1442</v>
      </c>
      <c r="K5" s="644" t="s">
        <v>1443</v>
      </c>
      <c r="L5" s="644" t="s">
        <v>1444</v>
      </c>
      <c r="M5" s="644" t="s">
        <v>1445</v>
      </c>
      <c r="N5" s="644" t="s">
        <v>1446</v>
      </c>
      <c r="O5" s="644" t="s">
        <v>1447</v>
      </c>
      <c r="P5" s="644" t="s">
        <v>1448</v>
      </c>
      <c r="Q5" s="644" t="s">
        <v>1449</v>
      </c>
    </row>
    <row r="6" spans="1:18" x14ac:dyDescent="0.25">
      <c r="A6" s="644" t="s">
        <v>1143</v>
      </c>
      <c r="B6" s="645" t="s">
        <v>1144</v>
      </c>
      <c r="C6" s="923">
        <v>4.16E-6</v>
      </c>
      <c r="D6" s="645" t="s">
        <v>1183</v>
      </c>
      <c r="E6" s="645">
        <v>1.6E-2</v>
      </c>
      <c r="F6" s="645" t="s">
        <v>1143</v>
      </c>
      <c r="G6" s="645" t="s">
        <v>1144</v>
      </c>
      <c r="H6" s="644" t="s">
        <v>1728</v>
      </c>
      <c r="I6" s="644" t="s">
        <v>1729</v>
      </c>
      <c r="J6" s="644" t="s">
        <v>1730</v>
      </c>
      <c r="K6" s="644" t="s">
        <v>1731</v>
      </c>
      <c r="L6" s="644" t="s">
        <v>1732</v>
      </c>
      <c r="M6" s="644" t="s">
        <v>1733</v>
      </c>
      <c r="N6" s="644" t="s">
        <v>1735</v>
      </c>
      <c r="O6" s="644" t="s">
        <v>1736</v>
      </c>
      <c r="P6" s="644" t="s">
        <v>1737</v>
      </c>
      <c r="Q6" s="644" t="s">
        <v>1823</v>
      </c>
    </row>
    <row r="7" spans="1:18" x14ac:dyDescent="0.25">
      <c r="A7" s="644" t="s">
        <v>1424</v>
      </c>
      <c r="B7" s="645" t="s">
        <v>1425</v>
      </c>
      <c r="C7" s="923">
        <v>4.9649999999999999E-6</v>
      </c>
      <c r="D7" s="645" t="s">
        <v>1183</v>
      </c>
      <c r="E7" s="645">
        <v>5.8999999999999997E-2</v>
      </c>
      <c r="F7" s="645" t="s">
        <v>1143</v>
      </c>
      <c r="G7" s="645" t="s">
        <v>1144</v>
      </c>
      <c r="H7" s="644" t="s">
        <v>1426</v>
      </c>
      <c r="I7" s="644" t="s">
        <v>1427</v>
      </c>
      <c r="J7" s="644" t="s">
        <v>1428</v>
      </c>
      <c r="K7" s="644" t="s">
        <v>1429</v>
      </c>
      <c r="L7" s="644" t="s">
        <v>1430</v>
      </c>
      <c r="M7" s="644" t="s">
        <v>1431</v>
      </c>
      <c r="N7" s="644" t="s">
        <v>1432</v>
      </c>
      <c r="O7" s="644" t="s">
        <v>1433</v>
      </c>
      <c r="P7" s="644" t="s">
        <v>1824</v>
      </c>
      <c r="Q7" s="644" t="s">
        <v>1825</v>
      </c>
    </row>
    <row r="8" spans="1:18" x14ac:dyDescent="0.25">
      <c r="A8" s="644" t="s">
        <v>1216</v>
      </c>
      <c r="B8" s="645" t="s">
        <v>1217</v>
      </c>
      <c r="C8" s="923">
        <v>5.9939999999999997E-6</v>
      </c>
      <c r="D8" s="645" t="s">
        <v>1183</v>
      </c>
      <c r="E8" s="645">
        <v>3.0000000000000001E-3</v>
      </c>
      <c r="F8" s="645" t="s">
        <v>1129</v>
      </c>
      <c r="G8" s="645" t="s">
        <v>1130</v>
      </c>
      <c r="H8" s="644" t="s">
        <v>1218</v>
      </c>
      <c r="I8" s="644" t="s">
        <v>1219</v>
      </c>
      <c r="J8" s="644" t="s">
        <v>1220</v>
      </c>
      <c r="K8" s="644" t="s">
        <v>1222</v>
      </c>
      <c r="L8" s="644" t="s">
        <v>1223</v>
      </c>
      <c r="M8" s="644" t="s">
        <v>1224</v>
      </c>
      <c r="N8" s="644" t="s">
        <v>1225</v>
      </c>
      <c r="O8" s="644" t="s">
        <v>1226</v>
      </c>
      <c r="P8" s="644" t="s">
        <v>1826</v>
      </c>
      <c r="Q8" s="644" t="s">
        <v>1827</v>
      </c>
    </row>
    <row r="9" spans="1:18" x14ac:dyDescent="0.25">
      <c r="A9" s="644" t="s">
        <v>1294</v>
      </c>
      <c r="B9" s="645" t="s">
        <v>1295</v>
      </c>
      <c r="C9" s="923">
        <v>6.6059999999999999E-6</v>
      </c>
      <c r="D9" s="645" t="s">
        <v>1183</v>
      </c>
      <c r="E9" s="645">
        <v>5.2400000000000005E-4</v>
      </c>
      <c r="F9" s="645" t="s">
        <v>1129</v>
      </c>
      <c r="G9" s="645" t="s">
        <v>1130</v>
      </c>
      <c r="H9" s="644" t="s">
        <v>1296</v>
      </c>
      <c r="I9" s="644" t="s">
        <v>1297</v>
      </c>
      <c r="J9" s="644" t="s">
        <v>1298</v>
      </c>
      <c r="K9" s="644" t="s">
        <v>1299</v>
      </c>
      <c r="L9" s="644" t="s">
        <v>1300</v>
      </c>
      <c r="M9" s="644" t="s">
        <v>1301</v>
      </c>
      <c r="N9" s="644" t="s">
        <v>1302</v>
      </c>
      <c r="O9" s="644" t="s">
        <v>1303</v>
      </c>
      <c r="P9" s="644" t="s">
        <v>1304</v>
      </c>
      <c r="Q9" s="644" t="s">
        <v>1305</v>
      </c>
    </row>
    <row r="10" spans="1:18" x14ac:dyDescent="0.25">
      <c r="A10" s="644" t="s">
        <v>1129</v>
      </c>
      <c r="B10" s="645" t="s">
        <v>1130</v>
      </c>
      <c r="C10" s="923">
        <v>7.5519999999999999E-6</v>
      </c>
      <c r="D10" s="645" t="s">
        <v>1183</v>
      </c>
      <c r="E10" s="645">
        <v>2.4699999999999999E-4</v>
      </c>
      <c r="F10" s="645" t="s">
        <v>1129</v>
      </c>
      <c r="G10" s="645" t="s">
        <v>1130</v>
      </c>
      <c r="H10" s="644" t="s">
        <v>1206</v>
      </c>
      <c r="I10" s="644" t="s">
        <v>1207</v>
      </c>
      <c r="J10" s="644" t="s">
        <v>1208</v>
      </c>
      <c r="K10" s="644" t="s">
        <v>1209</v>
      </c>
      <c r="L10" s="644" t="s">
        <v>1210</v>
      </c>
      <c r="M10" s="644" t="s">
        <v>1212</v>
      </c>
      <c r="N10" s="644" t="s">
        <v>1214</v>
      </c>
      <c r="O10" s="644" t="s">
        <v>1215</v>
      </c>
      <c r="P10" s="644" t="s">
        <v>1828</v>
      </c>
      <c r="Q10" s="644" t="s">
        <v>1829</v>
      </c>
    </row>
    <row r="11" spans="1:18" x14ac:dyDescent="0.25">
      <c r="A11" s="644" t="s">
        <v>1155</v>
      </c>
      <c r="B11" s="645" t="s">
        <v>1156</v>
      </c>
      <c r="C11" s="923">
        <v>8.5469999999999997E-6</v>
      </c>
      <c r="D11" s="645" t="s">
        <v>1183</v>
      </c>
      <c r="E11" s="923">
        <v>1.1599999999999999E-6</v>
      </c>
      <c r="F11" s="645" t="s">
        <v>1143</v>
      </c>
      <c r="G11" s="645" t="s">
        <v>1144</v>
      </c>
      <c r="H11" s="644" t="s">
        <v>1157</v>
      </c>
      <c r="I11" s="644" t="s">
        <v>1158</v>
      </c>
      <c r="J11" s="644" t="s">
        <v>1159</v>
      </c>
      <c r="K11" s="644" t="s">
        <v>1160</v>
      </c>
      <c r="L11" s="644" t="s">
        <v>1161</v>
      </c>
      <c r="M11" s="644" t="s">
        <v>1162</v>
      </c>
      <c r="N11" s="644" t="s">
        <v>1163</v>
      </c>
      <c r="O11" s="644" t="s">
        <v>1164</v>
      </c>
      <c r="P11" s="644" t="s">
        <v>1166</v>
      </c>
      <c r="Q11" s="644" t="s">
        <v>1830</v>
      </c>
    </row>
    <row r="12" spans="1:18" x14ac:dyDescent="0.25">
      <c r="A12" s="644" t="s">
        <v>1112</v>
      </c>
      <c r="B12" s="645" t="s">
        <v>1113</v>
      </c>
      <c r="C12" s="923">
        <v>9.9539999999999999E-6</v>
      </c>
      <c r="D12" s="645" t="s">
        <v>1183</v>
      </c>
      <c r="E12" s="645">
        <v>8.9999999999999993E-3</v>
      </c>
      <c r="F12" s="645" t="s">
        <v>1115</v>
      </c>
      <c r="G12" s="645" t="s">
        <v>1116</v>
      </c>
      <c r="H12" s="644" t="s">
        <v>1118</v>
      </c>
      <c r="I12" s="644" t="s">
        <v>1119</v>
      </c>
      <c r="J12" s="644" t="s">
        <v>1120</v>
      </c>
      <c r="K12" s="644" t="s">
        <v>1122</v>
      </c>
      <c r="L12" s="644" t="s">
        <v>1124</v>
      </c>
      <c r="M12" s="644" t="s">
        <v>1126</v>
      </c>
      <c r="N12" s="644" t="s">
        <v>1831</v>
      </c>
      <c r="O12" s="644" t="s">
        <v>1832</v>
      </c>
      <c r="P12" s="644" t="s">
        <v>1833</v>
      </c>
      <c r="Q12" s="644" t="s">
        <v>1834</v>
      </c>
    </row>
    <row r="13" spans="1:18" x14ac:dyDescent="0.25">
      <c r="A13" s="644" t="s">
        <v>1702</v>
      </c>
      <c r="B13" s="645" t="s">
        <v>1703</v>
      </c>
      <c r="C13" s="923">
        <v>1.5270000000000001E-5</v>
      </c>
      <c r="D13" s="645" t="s">
        <v>1183</v>
      </c>
      <c r="E13" s="645">
        <v>3.2000000000000001E-2</v>
      </c>
      <c r="F13" s="645" t="s">
        <v>1143</v>
      </c>
      <c r="G13" s="645" t="s">
        <v>1144</v>
      </c>
      <c r="H13" s="644" t="s">
        <v>1704</v>
      </c>
      <c r="I13" s="644" t="s">
        <v>1705</v>
      </c>
      <c r="J13" s="644" t="s">
        <v>1706</v>
      </c>
      <c r="K13" s="644" t="s">
        <v>1708</v>
      </c>
      <c r="L13" s="644" t="s">
        <v>1709</v>
      </c>
      <c r="M13" s="644" t="s">
        <v>1710</v>
      </c>
      <c r="N13" s="644" t="s">
        <v>1711</v>
      </c>
      <c r="O13" s="644" t="s">
        <v>1713</v>
      </c>
      <c r="P13" s="644" t="s">
        <v>1835</v>
      </c>
      <c r="Q13" s="644" t="s">
        <v>1836</v>
      </c>
    </row>
    <row r="14" spans="1:18" x14ac:dyDescent="0.25">
      <c r="A14" s="644" t="s">
        <v>1664</v>
      </c>
      <c r="B14" s="645" t="s">
        <v>1665</v>
      </c>
      <c r="C14" s="923">
        <v>1.8240000000000002E-5</v>
      </c>
      <c r="D14" s="645" t="s">
        <v>1183</v>
      </c>
      <c r="E14" s="645">
        <v>4.7399999999999997E-4</v>
      </c>
      <c r="F14" s="645" t="s">
        <v>1666</v>
      </c>
      <c r="G14" s="645" t="s">
        <v>1667</v>
      </c>
      <c r="H14" s="644" t="s">
        <v>1668</v>
      </c>
      <c r="I14" s="644" t="s">
        <v>1669</v>
      </c>
      <c r="J14" s="644" t="s">
        <v>1670</v>
      </c>
      <c r="K14" s="644" t="s">
        <v>1672</v>
      </c>
      <c r="L14" s="644" t="s">
        <v>1673</v>
      </c>
      <c r="M14" s="644" t="s">
        <v>1674</v>
      </c>
      <c r="N14" s="644" t="s">
        <v>1676</v>
      </c>
      <c r="O14" s="644" t="s">
        <v>1677</v>
      </c>
      <c r="P14" s="644" t="s">
        <v>1837</v>
      </c>
      <c r="Q14" s="644" t="s">
        <v>1838</v>
      </c>
    </row>
    <row r="15" spans="1:18" x14ac:dyDescent="0.25">
      <c r="A15" s="644" t="s">
        <v>1490</v>
      </c>
      <c r="B15" s="645" t="s">
        <v>1491</v>
      </c>
      <c r="C15" s="923">
        <v>2.0319999999999999E-5</v>
      </c>
      <c r="D15" s="645" t="s">
        <v>1183</v>
      </c>
      <c r="E15" s="645">
        <v>0.52800000000000002</v>
      </c>
      <c r="F15" s="645" t="s">
        <v>1492</v>
      </c>
      <c r="G15" s="645" t="s">
        <v>1493</v>
      </c>
      <c r="H15" s="644" t="s">
        <v>1494</v>
      </c>
      <c r="I15" s="644" t="s">
        <v>1495</v>
      </c>
      <c r="J15" s="644" t="s">
        <v>1496</v>
      </c>
      <c r="K15" s="644" t="s">
        <v>1497</v>
      </c>
      <c r="L15" s="644" t="s">
        <v>1498</v>
      </c>
      <c r="M15" s="644" t="s">
        <v>1499</v>
      </c>
      <c r="N15" s="644" t="s">
        <v>1500</v>
      </c>
      <c r="O15" s="644" t="s">
        <v>1501</v>
      </c>
      <c r="P15" s="644" t="s">
        <v>1503</v>
      </c>
      <c r="Q15" s="644" t="s">
        <v>1839</v>
      </c>
    </row>
    <row r="16" spans="1:18" x14ac:dyDescent="0.25">
      <c r="A16" s="644" t="s">
        <v>1840</v>
      </c>
      <c r="B16" s="645" t="s">
        <v>1841</v>
      </c>
      <c r="C16" s="923">
        <v>2.4939999999999998E-5</v>
      </c>
      <c r="D16" s="645" t="s">
        <v>1183</v>
      </c>
      <c r="E16" s="645">
        <v>0.41299999999999998</v>
      </c>
      <c r="F16" s="645" t="s">
        <v>1790</v>
      </c>
      <c r="G16" s="645" t="s">
        <v>1791</v>
      </c>
      <c r="H16" s="644" t="s">
        <v>1842</v>
      </c>
      <c r="I16" s="644" t="s">
        <v>1843</v>
      </c>
      <c r="J16" s="644" t="s">
        <v>1844</v>
      </c>
      <c r="K16" s="644" t="s">
        <v>1845</v>
      </c>
      <c r="L16" s="644" t="s">
        <v>1846</v>
      </c>
      <c r="M16" s="644" t="s">
        <v>1847</v>
      </c>
      <c r="N16" s="644" t="s">
        <v>1848</v>
      </c>
      <c r="O16" s="644" t="s">
        <v>1849</v>
      </c>
      <c r="P16" s="644" t="s">
        <v>1850</v>
      </c>
      <c r="Q16" s="644" t="s">
        <v>1851</v>
      </c>
    </row>
    <row r="17" spans="1:18" x14ac:dyDescent="0.25">
      <c r="A17" s="644" t="s">
        <v>1476</v>
      </c>
      <c r="B17" s="645" t="s">
        <v>1477</v>
      </c>
      <c r="C17" s="923">
        <v>2.5850000000000002E-5</v>
      </c>
      <c r="D17" s="645" t="s">
        <v>1183</v>
      </c>
      <c r="E17" s="645">
        <v>8.9999999999999993E-3</v>
      </c>
      <c r="F17" s="645" t="s">
        <v>1478</v>
      </c>
      <c r="G17" s="645" t="s">
        <v>1479</v>
      </c>
      <c r="H17" s="644" t="s">
        <v>1480</v>
      </c>
      <c r="I17" s="644" t="s">
        <v>1481</v>
      </c>
      <c r="J17" s="644" t="s">
        <v>1482</v>
      </c>
      <c r="K17" s="644" t="s">
        <v>1484</v>
      </c>
      <c r="L17" s="644" t="s">
        <v>1485</v>
      </c>
      <c r="M17" s="644" t="s">
        <v>1486</v>
      </c>
      <c r="N17" s="644" t="s">
        <v>1487</v>
      </c>
      <c r="O17" s="644" t="s">
        <v>1488</v>
      </c>
      <c r="P17" s="644" t="s">
        <v>1489</v>
      </c>
      <c r="Q17" s="644" t="s">
        <v>1852</v>
      </c>
    </row>
    <row r="18" spans="1:18" x14ac:dyDescent="0.25">
      <c r="A18" s="644" t="s">
        <v>1395</v>
      </c>
      <c r="B18" s="645" t="s">
        <v>1396</v>
      </c>
      <c r="C18" s="923">
        <v>2.6460000000000001E-5</v>
      </c>
      <c r="D18" s="645" t="s">
        <v>1183</v>
      </c>
      <c r="E18" s="645">
        <v>0.01</v>
      </c>
      <c r="F18" s="645" t="s">
        <v>1397</v>
      </c>
      <c r="G18" s="645" t="s">
        <v>1398</v>
      </c>
      <c r="H18" s="644" t="s">
        <v>1399</v>
      </c>
      <c r="I18" s="644" t="s">
        <v>1400</v>
      </c>
      <c r="J18" s="644" t="s">
        <v>1401</v>
      </c>
      <c r="K18" s="644" t="s">
        <v>1402</v>
      </c>
      <c r="L18" s="644" t="s">
        <v>1403</v>
      </c>
      <c r="M18" s="644" t="s">
        <v>1404</v>
      </c>
      <c r="N18" s="644" t="s">
        <v>1405</v>
      </c>
      <c r="O18" s="644" t="s">
        <v>1406</v>
      </c>
      <c r="P18" s="644" t="s">
        <v>1408</v>
      </c>
      <c r="Q18" s="644" t="s">
        <v>1853</v>
      </c>
    </row>
    <row r="19" spans="1:18" x14ac:dyDescent="0.25">
      <c r="A19" s="644" t="s">
        <v>1464</v>
      </c>
      <c r="B19" s="645" t="s">
        <v>1465</v>
      </c>
      <c r="C19" s="923">
        <v>2.7909999999999999E-5</v>
      </c>
      <c r="D19" s="645" t="s">
        <v>1183</v>
      </c>
      <c r="E19" s="645">
        <v>0.128</v>
      </c>
      <c r="F19" s="645" t="s">
        <v>1438</v>
      </c>
      <c r="G19" s="645" t="s">
        <v>1439</v>
      </c>
      <c r="H19" s="644" t="s">
        <v>1466</v>
      </c>
      <c r="I19" s="644" t="s">
        <v>1467</v>
      </c>
      <c r="J19" s="644" t="s">
        <v>1468</v>
      </c>
      <c r="K19" s="644" t="s">
        <v>1469</v>
      </c>
      <c r="L19" s="644" t="s">
        <v>1470</v>
      </c>
      <c r="M19" s="644" t="s">
        <v>1472</v>
      </c>
      <c r="N19" s="644" t="s">
        <v>1473</v>
      </c>
      <c r="O19" s="644" t="s">
        <v>1475</v>
      </c>
      <c r="P19" s="644" t="s">
        <v>1854</v>
      </c>
      <c r="Q19" s="644" t="s">
        <v>1855</v>
      </c>
    </row>
    <row r="20" spans="1:18" x14ac:dyDescent="0.25">
      <c r="A20" s="644" t="s">
        <v>1602</v>
      </c>
      <c r="B20" s="645" t="s">
        <v>1603</v>
      </c>
      <c r="C20" s="923">
        <v>3.3859999999999998E-5</v>
      </c>
      <c r="D20" s="645" t="s">
        <v>1183</v>
      </c>
      <c r="E20" s="645">
        <v>2E-3</v>
      </c>
      <c r="F20" s="645" t="s">
        <v>1129</v>
      </c>
      <c r="G20" s="645" t="s">
        <v>1130</v>
      </c>
      <c r="H20" s="644" t="s">
        <v>1604</v>
      </c>
      <c r="I20" s="644" t="s">
        <v>1605</v>
      </c>
      <c r="J20" s="644" t="s">
        <v>1606</v>
      </c>
      <c r="K20" s="644" t="s">
        <v>1607</v>
      </c>
      <c r="L20" s="644" t="s">
        <v>1608</v>
      </c>
      <c r="M20" s="644" t="s">
        <v>1610</v>
      </c>
      <c r="N20" s="644" t="s">
        <v>1611</v>
      </c>
      <c r="O20" s="644" t="s">
        <v>1612</v>
      </c>
      <c r="P20" s="644" t="s">
        <v>1613</v>
      </c>
      <c r="Q20" s="644" t="s">
        <v>1856</v>
      </c>
    </row>
    <row r="21" spans="1:18" x14ac:dyDescent="0.25">
      <c r="A21" s="644" t="s">
        <v>1857</v>
      </c>
      <c r="B21" s="645" t="s">
        <v>1858</v>
      </c>
      <c r="C21" s="923">
        <v>3.489E-5</v>
      </c>
      <c r="D21" s="645" t="s">
        <v>1183</v>
      </c>
      <c r="E21" s="645">
        <v>0.48399999999999999</v>
      </c>
      <c r="F21" s="645" t="s">
        <v>1859</v>
      </c>
      <c r="G21" s="645" t="s">
        <v>1860</v>
      </c>
      <c r="H21" s="644" t="s">
        <v>1861</v>
      </c>
      <c r="I21" s="644" t="s">
        <v>1862</v>
      </c>
      <c r="J21" s="644" t="s">
        <v>1863</v>
      </c>
      <c r="K21" s="644" t="s">
        <v>1864</v>
      </c>
      <c r="L21" s="644" t="s">
        <v>1865</v>
      </c>
      <c r="M21" s="644" t="s">
        <v>1866</v>
      </c>
      <c r="N21" s="644" t="s">
        <v>1867</v>
      </c>
      <c r="O21" s="644" t="s">
        <v>1868</v>
      </c>
      <c r="P21" s="644" t="s">
        <v>1869</v>
      </c>
      <c r="Q21" s="644" t="s">
        <v>1870</v>
      </c>
    </row>
    <row r="22" spans="1:18" x14ac:dyDescent="0.25">
      <c r="A22" s="644" t="s">
        <v>1871</v>
      </c>
      <c r="B22" s="645" t="s">
        <v>1872</v>
      </c>
      <c r="C22" s="923">
        <v>4.3890000000000002E-5</v>
      </c>
      <c r="D22" s="645" t="s">
        <v>1183</v>
      </c>
      <c r="E22" s="645">
        <v>1.7000000000000001E-2</v>
      </c>
      <c r="F22" s="645" t="s">
        <v>1397</v>
      </c>
      <c r="G22" s="645" t="s">
        <v>1398</v>
      </c>
      <c r="H22" s="644" t="s">
        <v>1873</v>
      </c>
      <c r="I22" s="644" t="s">
        <v>1874</v>
      </c>
      <c r="J22" s="644" t="s">
        <v>1875</v>
      </c>
      <c r="K22" s="644" t="s">
        <v>1876</v>
      </c>
      <c r="L22" s="644" t="s">
        <v>1877</v>
      </c>
      <c r="M22" s="644" t="s">
        <v>1878</v>
      </c>
      <c r="N22" s="644" t="s">
        <v>1879</v>
      </c>
      <c r="O22" s="644" t="s">
        <v>1880</v>
      </c>
      <c r="P22" s="644" t="s">
        <v>1881</v>
      </c>
      <c r="Q22" s="644" t="s">
        <v>1882</v>
      </c>
    </row>
    <row r="23" spans="1:18" x14ac:dyDescent="0.25">
      <c r="A23" s="644" t="s">
        <v>1883</v>
      </c>
      <c r="B23" s="645" t="s">
        <v>1884</v>
      </c>
      <c r="C23" s="923">
        <v>4.6650000000000002E-5</v>
      </c>
      <c r="D23" s="645" t="s">
        <v>1183</v>
      </c>
      <c r="E23" s="645">
        <v>1.3300000000000001E-4</v>
      </c>
      <c r="F23" s="645" t="s">
        <v>1129</v>
      </c>
      <c r="G23" s="645" t="s">
        <v>1130</v>
      </c>
      <c r="H23" s="644" t="s">
        <v>1885</v>
      </c>
      <c r="I23" s="644" t="s">
        <v>1886</v>
      </c>
      <c r="J23" s="644" t="s">
        <v>1887</v>
      </c>
      <c r="K23" s="644" t="s">
        <v>1888</v>
      </c>
      <c r="L23" s="644" t="s">
        <v>1889</v>
      </c>
      <c r="M23" s="644" t="s">
        <v>1890</v>
      </c>
      <c r="N23" s="644" t="s">
        <v>1891</v>
      </c>
      <c r="O23" s="644" t="s">
        <v>1892</v>
      </c>
      <c r="P23" s="644" t="s">
        <v>1893</v>
      </c>
      <c r="Q23" s="644" t="s">
        <v>1894</v>
      </c>
    </row>
    <row r="24" spans="1:18" x14ac:dyDescent="0.25">
      <c r="A24" s="644" t="s">
        <v>1895</v>
      </c>
      <c r="B24" s="645" t="s">
        <v>1896</v>
      </c>
      <c r="C24" s="923">
        <v>4.8239999999999999E-5</v>
      </c>
      <c r="D24" s="645" t="s">
        <v>1183</v>
      </c>
      <c r="E24" s="923">
        <v>1.1600000000000001E-5</v>
      </c>
      <c r="F24" s="645" t="s">
        <v>1897</v>
      </c>
      <c r="G24" s="645" t="s">
        <v>1898</v>
      </c>
      <c r="H24" s="644" t="s">
        <v>1899</v>
      </c>
      <c r="I24" s="644" t="s">
        <v>1900</v>
      </c>
      <c r="J24" s="644" t="s">
        <v>1901</v>
      </c>
      <c r="K24" s="644" t="s">
        <v>1902</v>
      </c>
      <c r="L24" s="644" t="s">
        <v>1903</v>
      </c>
      <c r="M24" s="644" t="s">
        <v>1904</v>
      </c>
      <c r="N24" s="644" t="s">
        <v>1905</v>
      </c>
      <c r="O24" s="644" t="s">
        <v>1906</v>
      </c>
      <c r="P24" s="644" t="s">
        <v>1907</v>
      </c>
      <c r="Q24" s="644" t="s">
        <v>1908</v>
      </c>
    </row>
    <row r="25" spans="1:18" x14ac:dyDescent="0.25">
      <c r="A25" s="644" t="s">
        <v>1580</v>
      </c>
      <c r="B25" s="645" t="s">
        <v>1581</v>
      </c>
      <c r="C25" s="923">
        <v>5.1010000000000001E-5</v>
      </c>
      <c r="D25" s="645" t="s">
        <v>1183</v>
      </c>
      <c r="E25" s="645">
        <v>1.4999999999999999E-2</v>
      </c>
      <c r="F25" s="645" t="s">
        <v>1383</v>
      </c>
      <c r="G25" s="645" t="s">
        <v>1384</v>
      </c>
      <c r="H25" s="644" t="s">
        <v>1582</v>
      </c>
      <c r="I25" s="644" t="s">
        <v>1583</v>
      </c>
      <c r="J25" s="644" t="s">
        <v>1584</v>
      </c>
      <c r="K25" s="644" t="s">
        <v>1585</v>
      </c>
      <c r="L25" s="644" t="s">
        <v>1587</v>
      </c>
      <c r="M25" s="644" t="s">
        <v>1588</v>
      </c>
      <c r="N25" s="644" t="s">
        <v>1589</v>
      </c>
      <c r="O25" s="644" t="s">
        <v>1590</v>
      </c>
      <c r="P25" s="644" t="s">
        <v>1591</v>
      </c>
      <c r="Q25" s="644" t="s">
        <v>1909</v>
      </c>
      <c r="R25" s="645" t="s">
        <v>1409</v>
      </c>
    </row>
    <row r="26" spans="1:18" x14ac:dyDescent="0.25">
      <c r="A26" s="644" t="s">
        <v>1332</v>
      </c>
      <c r="B26" s="645" t="s">
        <v>1333</v>
      </c>
      <c r="C26" s="923">
        <v>5.9589999999999997E-5</v>
      </c>
      <c r="D26" s="645" t="s">
        <v>1183</v>
      </c>
      <c r="E26" s="645">
        <v>1.13E-4</v>
      </c>
      <c r="F26" s="645" t="s">
        <v>1129</v>
      </c>
      <c r="G26" s="645" t="s">
        <v>1130</v>
      </c>
      <c r="H26" s="644" t="s">
        <v>1334</v>
      </c>
      <c r="I26" s="644" t="s">
        <v>1335</v>
      </c>
      <c r="J26" s="644" t="s">
        <v>1336</v>
      </c>
      <c r="K26" s="644" t="s">
        <v>1337</v>
      </c>
      <c r="L26" s="644" t="s">
        <v>1338</v>
      </c>
      <c r="M26" s="644" t="s">
        <v>1342</v>
      </c>
      <c r="N26" s="644" t="s">
        <v>1910</v>
      </c>
      <c r="O26" s="644" t="s">
        <v>1911</v>
      </c>
      <c r="P26" s="644" t="s">
        <v>1912</v>
      </c>
      <c r="Q26" s="644" t="s">
        <v>1913</v>
      </c>
    </row>
    <row r="27" spans="1:18" x14ac:dyDescent="0.25">
      <c r="A27" s="644" t="s">
        <v>1750</v>
      </c>
      <c r="B27" s="645" t="s">
        <v>1751</v>
      </c>
      <c r="C27" s="923">
        <v>6.1779999999999995E-5</v>
      </c>
      <c r="D27" s="645" t="s">
        <v>1183</v>
      </c>
      <c r="E27" s="645">
        <v>3.2000000000000001E-2</v>
      </c>
      <c r="F27" s="645" t="s">
        <v>1320</v>
      </c>
      <c r="G27" s="645" t="s">
        <v>1321</v>
      </c>
      <c r="H27" s="644" t="s">
        <v>1752</v>
      </c>
      <c r="I27" s="644" t="s">
        <v>1753</v>
      </c>
      <c r="J27" s="644" t="s">
        <v>1754</v>
      </c>
      <c r="K27" s="644" t="s">
        <v>1755</v>
      </c>
      <c r="L27" s="644" t="s">
        <v>1756</v>
      </c>
      <c r="M27" s="644" t="s">
        <v>1757</v>
      </c>
      <c r="N27" s="644" t="s">
        <v>1758</v>
      </c>
      <c r="O27" s="644" t="s">
        <v>1759</v>
      </c>
      <c r="P27" s="644" t="s">
        <v>1760</v>
      </c>
      <c r="Q27" s="644" t="s">
        <v>1914</v>
      </c>
    </row>
    <row r="28" spans="1:18" x14ac:dyDescent="0.25">
      <c r="A28" s="644" t="s">
        <v>1915</v>
      </c>
      <c r="B28" s="645" t="s">
        <v>1916</v>
      </c>
      <c r="C28" s="923">
        <v>6.6929999999999998E-5</v>
      </c>
      <c r="D28" s="645" t="s">
        <v>1183</v>
      </c>
      <c r="E28" s="645">
        <v>7.0999999999999994E-2</v>
      </c>
      <c r="F28" s="645" t="s">
        <v>1917</v>
      </c>
      <c r="G28" s="645" t="s">
        <v>1918</v>
      </c>
      <c r="H28" s="644" t="s">
        <v>1919</v>
      </c>
      <c r="I28" s="644" t="s">
        <v>1920</v>
      </c>
      <c r="J28" s="644" t="s">
        <v>1921</v>
      </c>
      <c r="K28" s="644" t="s">
        <v>1922</v>
      </c>
      <c r="L28" s="644" t="s">
        <v>1923</v>
      </c>
      <c r="M28" s="644" t="s">
        <v>1924</v>
      </c>
      <c r="N28" s="644" t="s">
        <v>1925</v>
      </c>
      <c r="O28" s="644" t="s">
        <v>1926</v>
      </c>
      <c r="P28" s="644" t="s">
        <v>1927</v>
      </c>
      <c r="Q28" s="644" t="s">
        <v>1928</v>
      </c>
    </row>
    <row r="29" spans="1:18" x14ac:dyDescent="0.25">
      <c r="A29" s="644" t="s">
        <v>1397</v>
      </c>
      <c r="B29" s="645" t="s">
        <v>1398</v>
      </c>
      <c r="C29" s="923">
        <v>7.1639999999999998E-5</v>
      </c>
      <c r="D29" s="645" t="s">
        <v>1183</v>
      </c>
      <c r="E29" s="645">
        <v>3.0000000000000001E-3</v>
      </c>
      <c r="F29" s="645" t="s">
        <v>1397</v>
      </c>
      <c r="G29" s="645" t="s">
        <v>1398</v>
      </c>
      <c r="H29" s="644" t="s">
        <v>1929</v>
      </c>
      <c r="I29" s="644" t="s">
        <v>1930</v>
      </c>
      <c r="J29" s="644" t="s">
        <v>1931</v>
      </c>
      <c r="K29" s="644" t="s">
        <v>1932</v>
      </c>
      <c r="L29" s="644" t="s">
        <v>1933</v>
      </c>
      <c r="M29" s="644" t="s">
        <v>1934</v>
      </c>
      <c r="N29" s="644" t="s">
        <v>1935</v>
      </c>
      <c r="O29" s="644" t="s">
        <v>1936</v>
      </c>
      <c r="P29" s="644" t="s">
        <v>1937</v>
      </c>
      <c r="Q29" s="644" t="s">
        <v>1938</v>
      </c>
      <c r="R29" s="645" t="s">
        <v>1409</v>
      </c>
    </row>
    <row r="30" spans="1:18" x14ac:dyDescent="0.25">
      <c r="A30" s="644" t="s">
        <v>1939</v>
      </c>
      <c r="B30" s="645" t="s">
        <v>1940</v>
      </c>
      <c r="C30" s="923">
        <v>7.3250000000000005E-5</v>
      </c>
      <c r="D30" s="645" t="s">
        <v>1183</v>
      </c>
      <c r="E30" s="645">
        <v>2.9000000000000001E-2</v>
      </c>
      <c r="F30" s="645" t="s">
        <v>1129</v>
      </c>
      <c r="G30" s="645" t="s">
        <v>1130</v>
      </c>
      <c r="H30" s="644" t="s">
        <v>1941</v>
      </c>
      <c r="I30" s="644" t="s">
        <v>1942</v>
      </c>
      <c r="J30" s="644" t="s">
        <v>1943</v>
      </c>
      <c r="K30" s="644" t="s">
        <v>1944</v>
      </c>
      <c r="L30" s="644" t="s">
        <v>1945</v>
      </c>
      <c r="M30" s="644" t="s">
        <v>1946</v>
      </c>
      <c r="N30" s="644" t="s">
        <v>1947</v>
      </c>
      <c r="O30" s="644" t="s">
        <v>1948</v>
      </c>
      <c r="P30" s="644" t="s">
        <v>1949</v>
      </c>
      <c r="Q30" s="644" t="s">
        <v>1950</v>
      </c>
    </row>
    <row r="31" spans="1:18" x14ac:dyDescent="0.25">
      <c r="A31" s="646" t="s">
        <v>1951</v>
      </c>
      <c r="B31" s="647" t="s">
        <v>1952</v>
      </c>
      <c r="C31" s="924">
        <v>7.9930000000000002E-5</v>
      </c>
      <c r="D31" s="647" t="s">
        <v>1183</v>
      </c>
      <c r="E31" s="647">
        <v>2.1999999999999999E-2</v>
      </c>
      <c r="F31" s="647" t="s">
        <v>1129</v>
      </c>
      <c r="G31" s="647" t="s">
        <v>1130</v>
      </c>
      <c r="H31" s="646" t="s">
        <v>1953</v>
      </c>
      <c r="I31" s="646" t="s">
        <v>1954</v>
      </c>
      <c r="J31" s="646" t="s">
        <v>1955</v>
      </c>
      <c r="K31" s="646" t="s">
        <v>1956</v>
      </c>
      <c r="L31" s="646" t="s">
        <v>1957</v>
      </c>
      <c r="M31" s="646" t="s">
        <v>1958</v>
      </c>
      <c r="N31" s="646" t="s">
        <v>1959</v>
      </c>
      <c r="O31" s="646" t="s">
        <v>1960</v>
      </c>
      <c r="P31" s="646" t="s">
        <v>1961</v>
      </c>
      <c r="Q31" s="646" t="s">
        <v>1962</v>
      </c>
      <c r="R31" s="647" t="s">
        <v>1409</v>
      </c>
    </row>
    <row r="32" spans="1:18" x14ac:dyDescent="0.25">
      <c r="A32" s="215" t="s">
        <v>1814</v>
      </c>
    </row>
    <row r="33" spans="1:18" s="744" customFormat="1" x14ac:dyDescent="0.25">
      <c r="A33" s="743" t="s">
        <v>1815</v>
      </c>
      <c r="B33" s="745"/>
      <c r="C33" s="745"/>
      <c r="D33" s="745"/>
      <c r="E33" s="745"/>
      <c r="F33" s="745"/>
      <c r="G33" s="745"/>
      <c r="R33" s="745"/>
    </row>
    <row r="34" spans="1:18" s="744" customFormat="1" x14ac:dyDescent="0.25">
      <c r="A34" s="331" t="s">
        <v>1963</v>
      </c>
      <c r="B34" s="745"/>
      <c r="C34" s="745"/>
      <c r="D34" s="745"/>
      <c r="E34" s="745"/>
      <c r="F34" s="745"/>
      <c r="G34" s="745"/>
      <c r="R34" s="745"/>
    </row>
    <row r="35" spans="1:18" s="744" customFormat="1" x14ac:dyDescent="0.25">
      <c r="A35" s="743" t="s">
        <v>1964</v>
      </c>
      <c r="B35" s="745"/>
      <c r="C35" s="745"/>
      <c r="D35" s="745"/>
      <c r="E35" s="745"/>
      <c r="F35" s="745"/>
      <c r="G35" s="745"/>
      <c r="R35" s="745"/>
    </row>
    <row r="36" spans="1:18" s="744" customFormat="1" x14ac:dyDescent="0.25">
      <c r="A36" s="743" t="s">
        <v>1818</v>
      </c>
      <c r="B36" s="745"/>
      <c r="C36" s="745"/>
      <c r="D36" s="745"/>
      <c r="E36" s="745"/>
      <c r="F36" s="745"/>
      <c r="G36" s="745"/>
      <c r="R36" s="745"/>
    </row>
    <row r="37" spans="1:18" s="744" customFormat="1" x14ac:dyDescent="0.25">
      <c r="A37" s="746"/>
      <c r="B37" s="745"/>
      <c r="C37" s="745"/>
      <c r="D37" s="745"/>
      <c r="E37" s="745"/>
      <c r="F37" s="745"/>
      <c r="G37" s="745"/>
      <c r="R37" s="745"/>
    </row>
  </sheetData>
  <phoneticPr fontId="101" type="noConversion"/>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41"/>
  <sheetViews>
    <sheetView workbookViewId="0">
      <pane xSplit="1" ySplit="3" topLeftCell="B233" activePane="bottomRight" state="frozen"/>
      <selection pane="topRight" activeCell="B1" sqref="B1"/>
      <selection pane="bottomLeft" activeCell="A11" sqref="A11"/>
      <selection pane="bottomRight" activeCell="D242" sqref="D242"/>
    </sheetView>
  </sheetViews>
  <sheetFormatPr defaultColWidth="11.7109375" defaultRowHeight="15" x14ac:dyDescent="0.25"/>
  <cols>
    <col min="1" max="1" width="56.28515625" style="1083" customWidth="1"/>
    <col min="2" max="5" width="11.7109375" style="1084"/>
    <col min="6" max="16384" width="11.7109375" style="1083"/>
  </cols>
  <sheetData>
    <row r="1" spans="1:5" s="1081" customFormat="1" ht="17.25" x14ac:dyDescent="0.25">
      <c r="A1" s="1081" t="s">
        <v>5579</v>
      </c>
      <c r="B1" s="1082"/>
      <c r="C1" s="1082"/>
      <c r="D1" s="1082"/>
      <c r="E1" s="1082"/>
    </row>
    <row r="2" spans="1:5" ht="17.25" x14ac:dyDescent="0.25">
      <c r="A2" s="1085"/>
      <c r="B2" s="1418" t="s">
        <v>5333</v>
      </c>
      <c r="C2" s="1418"/>
      <c r="D2" s="1418" t="s">
        <v>1965</v>
      </c>
      <c r="E2" s="1418"/>
    </row>
    <row r="3" spans="1:5" ht="18" thickBot="1" x14ac:dyDescent="0.3">
      <c r="A3" s="1086" t="s">
        <v>1966</v>
      </c>
      <c r="B3" s="1087" t="s">
        <v>1967</v>
      </c>
      <c r="C3" s="1087" t="s">
        <v>1968</v>
      </c>
      <c r="D3" s="1087" t="s">
        <v>1967</v>
      </c>
      <c r="E3" s="1087" t="s">
        <v>1968</v>
      </c>
    </row>
    <row r="4" spans="1:5" ht="16.5" thickTop="1" x14ac:dyDescent="0.25">
      <c r="A4" t="s">
        <v>1156</v>
      </c>
      <c r="B4" s="1088">
        <v>1.6684999999999999E-7</v>
      </c>
      <c r="C4" s="1088">
        <v>6.5254000000000004E-7</v>
      </c>
      <c r="D4" s="1089">
        <v>1.0217E-2</v>
      </c>
      <c r="E4" s="1089">
        <v>6.7767000000000001E-4</v>
      </c>
    </row>
    <row r="5" spans="1:5" ht="15.75" x14ac:dyDescent="0.25">
      <c r="A5" t="s">
        <v>1969</v>
      </c>
      <c r="B5" s="1088">
        <v>3.1292000000000003E-7</v>
      </c>
      <c r="C5" s="1088">
        <v>5.2875999999999998E-7</v>
      </c>
      <c r="D5" s="1089">
        <v>4.3114E-4</v>
      </c>
      <c r="E5" s="1089">
        <v>5.5696000000000001E-4</v>
      </c>
    </row>
    <row r="6" spans="1:5" ht="15.75" x14ac:dyDescent="0.25">
      <c r="A6" t="s">
        <v>1970</v>
      </c>
      <c r="B6" s="1088">
        <v>3.4457000000000002E-7</v>
      </c>
      <c r="C6" s="1088">
        <v>1.9672E-6</v>
      </c>
      <c r="D6" s="1088">
        <v>3.0292000000000002E-6</v>
      </c>
      <c r="E6" s="1088">
        <v>6.3355000000000001E-8</v>
      </c>
    </row>
    <row r="7" spans="1:5" ht="15.75" x14ac:dyDescent="0.25">
      <c r="A7" t="s">
        <v>1971</v>
      </c>
      <c r="B7" s="1088">
        <v>3.8156999999999999E-7</v>
      </c>
      <c r="C7" s="1088">
        <v>1.2372E-6</v>
      </c>
      <c r="D7" s="1089">
        <v>5.6331000000000003E-3</v>
      </c>
      <c r="E7" s="1089">
        <v>4.5506000000000002E-4</v>
      </c>
    </row>
    <row r="8" spans="1:5" ht="15.75" x14ac:dyDescent="0.25">
      <c r="A8" t="s">
        <v>1972</v>
      </c>
      <c r="B8" s="1088">
        <v>5.5677000000000003E-7</v>
      </c>
      <c r="C8" s="1089">
        <v>6.8576000000000002E-6</v>
      </c>
      <c r="D8" s="1089">
        <v>2.2984000000000001E-2</v>
      </c>
      <c r="E8" s="1089">
        <v>2.3419000000000001E-4</v>
      </c>
    </row>
    <row r="9" spans="1:5" ht="15.75" x14ac:dyDescent="0.25">
      <c r="A9" t="s">
        <v>1973</v>
      </c>
      <c r="B9" s="1088">
        <v>5.609E-7</v>
      </c>
      <c r="C9" s="1088">
        <v>2.9143000000000001E-7</v>
      </c>
      <c r="D9" s="1089">
        <v>4.5567999999999997E-4</v>
      </c>
      <c r="E9" s="1089">
        <v>8.9369999999999998E-4</v>
      </c>
    </row>
    <row r="10" spans="1:5" ht="15.75" x14ac:dyDescent="0.25">
      <c r="A10" t="s">
        <v>1384</v>
      </c>
      <c r="B10" s="1088">
        <v>8.1781999999999995E-7</v>
      </c>
      <c r="C10" s="1089">
        <v>9.2768999999999992E-6</v>
      </c>
      <c r="D10" s="1089">
        <v>1.1006E-2</v>
      </c>
      <c r="E10" s="1089">
        <v>7.3472000000000004E-5</v>
      </c>
    </row>
    <row r="11" spans="1:5" ht="15.75" x14ac:dyDescent="0.25">
      <c r="A11" t="s">
        <v>1974</v>
      </c>
      <c r="B11" s="1088">
        <v>8.7110000000000001E-7</v>
      </c>
      <c r="C11" s="1088">
        <v>2.6226999999999998E-7</v>
      </c>
      <c r="D11" s="1089">
        <v>5.1400999999999998E-5</v>
      </c>
      <c r="E11" s="1089">
        <v>4.5434999999999998E-6</v>
      </c>
    </row>
    <row r="12" spans="1:5" ht="15.75" x14ac:dyDescent="0.25">
      <c r="A12" t="s">
        <v>1975</v>
      </c>
      <c r="B12" s="1088">
        <v>1.1191E-6</v>
      </c>
      <c r="C12" s="1089">
        <v>2.4233999999999999E-5</v>
      </c>
      <c r="D12" s="1089">
        <v>1.0685E-2</v>
      </c>
      <c r="E12" s="1089">
        <v>2.4307999999999999E-3</v>
      </c>
    </row>
    <row r="13" spans="1:5" ht="15.75" x14ac:dyDescent="0.25">
      <c r="A13" t="s">
        <v>1976</v>
      </c>
      <c r="B13" s="1088">
        <v>1.5869E-6</v>
      </c>
      <c r="C13" s="1089">
        <v>6.2889E-6</v>
      </c>
      <c r="D13" s="1089">
        <v>7.5226000000000001E-2</v>
      </c>
      <c r="E13" s="1089">
        <v>1.9494E-3</v>
      </c>
    </row>
    <row r="14" spans="1:5" ht="15.75" x14ac:dyDescent="0.25">
      <c r="A14" t="s">
        <v>1321</v>
      </c>
      <c r="B14" s="1088">
        <v>1.6448999999999999E-6</v>
      </c>
      <c r="C14" s="1089">
        <v>6.8851999999999997E-6</v>
      </c>
      <c r="D14" s="1089">
        <v>7.8676000000000004E-5</v>
      </c>
      <c r="E14" s="1088">
        <v>1.2836000000000001E-6</v>
      </c>
    </row>
    <row r="15" spans="1:5" ht="15.75" x14ac:dyDescent="0.25">
      <c r="A15" t="s">
        <v>1739</v>
      </c>
      <c r="B15" s="1088">
        <v>1.9611000000000002E-6</v>
      </c>
      <c r="C15" s="1089">
        <v>1.3557000000000001E-5</v>
      </c>
      <c r="D15" s="1089">
        <v>2.6369E-2</v>
      </c>
      <c r="E15" s="1089">
        <v>6.0651000000000004E-3</v>
      </c>
    </row>
    <row r="16" spans="1:5" ht="15.75" x14ac:dyDescent="0.25">
      <c r="A16" t="s">
        <v>1977</v>
      </c>
      <c r="B16" s="1088">
        <v>2.255E-6</v>
      </c>
      <c r="C16" s="1089">
        <v>1.272E-5</v>
      </c>
      <c r="D16" s="1089">
        <v>4.5434000000000002E-2</v>
      </c>
      <c r="E16" s="1089">
        <v>1.2689000000000001E-2</v>
      </c>
    </row>
    <row r="17" spans="1:5" ht="15.75" x14ac:dyDescent="0.25">
      <c r="A17" t="s">
        <v>1978</v>
      </c>
      <c r="B17" s="1088">
        <v>2.4221000000000001E-6</v>
      </c>
      <c r="C17" s="1089">
        <v>1.167E-5</v>
      </c>
      <c r="D17" s="1089">
        <v>1.1771999999999999E-2</v>
      </c>
      <c r="E17" s="1089">
        <v>2.6624999999999999E-3</v>
      </c>
    </row>
    <row r="18" spans="1:5" ht="15.75" x14ac:dyDescent="0.25">
      <c r="A18" t="s">
        <v>1979</v>
      </c>
      <c r="B18" s="1088">
        <v>2.4665E-6</v>
      </c>
      <c r="C18" s="1089">
        <v>3.9635999999999998E-5</v>
      </c>
      <c r="D18" s="1089">
        <v>1.8190000000000001E-2</v>
      </c>
      <c r="E18" s="1089">
        <v>1.9191E-4</v>
      </c>
    </row>
    <row r="19" spans="1:5" s="1090" customFormat="1" ht="15.75" x14ac:dyDescent="0.25">
      <c r="A19" t="s">
        <v>1980</v>
      </c>
      <c r="B19" s="1088">
        <v>2.8820000000000001E-6</v>
      </c>
      <c r="C19" s="1089">
        <v>4.0302E-6</v>
      </c>
      <c r="D19" s="1089">
        <v>2.3993E-2</v>
      </c>
      <c r="E19" s="1089">
        <v>3.0495999999999999E-2</v>
      </c>
    </row>
    <row r="20" spans="1:5" s="1090" customFormat="1" ht="15.75" x14ac:dyDescent="0.25">
      <c r="A20" t="s">
        <v>1195</v>
      </c>
      <c r="B20" s="1088">
        <v>3.1910999999999998E-6</v>
      </c>
      <c r="C20" s="1089">
        <v>8.8710000000000003E-6</v>
      </c>
      <c r="D20" s="1089">
        <v>5.2135999999999997E-5</v>
      </c>
      <c r="E20" s="1089">
        <v>3.4700999999999999E-5</v>
      </c>
    </row>
    <row r="21" spans="1:5" x14ac:dyDescent="0.25">
      <c r="A21" t="s">
        <v>5334</v>
      </c>
      <c r="B21" s="1089">
        <v>4.8028E-6</v>
      </c>
      <c r="C21" s="1089">
        <v>3.7302000000000003E-5</v>
      </c>
      <c r="D21" s="1089">
        <v>2.3294000000000001E-3</v>
      </c>
      <c r="E21" s="1089">
        <v>9.9124E-4</v>
      </c>
    </row>
    <row r="22" spans="1:5" x14ac:dyDescent="0.25">
      <c r="A22" t="s">
        <v>5335</v>
      </c>
      <c r="B22" s="1089">
        <v>4.8048000000000001E-6</v>
      </c>
      <c r="C22" s="1089">
        <v>6.0546999999999998E-6</v>
      </c>
      <c r="D22" s="1089">
        <v>6.0151999999999997E-2</v>
      </c>
      <c r="E22" s="1089">
        <v>3.0560000000000001E-3</v>
      </c>
    </row>
    <row r="23" spans="1:5" ht="15.75" x14ac:dyDescent="0.25">
      <c r="A23" t="s">
        <v>1581</v>
      </c>
      <c r="B23" s="1089">
        <v>5.0030000000000002E-6</v>
      </c>
      <c r="C23" s="1089">
        <v>1.6644000000000001E-4</v>
      </c>
      <c r="D23" s="1089">
        <v>3.3295999999999998E-4</v>
      </c>
      <c r="E23" s="1088">
        <v>3.0442999999999998E-6</v>
      </c>
    </row>
    <row r="24" spans="1:5" x14ac:dyDescent="0.25">
      <c r="A24" t="s">
        <v>5336</v>
      </c>
      <c r="B24" s="1089">
        <v>5.4944000000000003E-6</v>
      </c>
      <c r="C24" s="1089">
        <v>1.5787E-5</v>
      </c>
      <c r="D24" s="1089">
        <v>5.7172999999999998E-3</v>
      </c>
      <c r="E24" s="1089">
        <v>8.3918000000000003E-4</v>
      </c>
    </row>
    <row r="25" spans="1:5" ht="15.75" x14ac:dyDescent="0.25">
      <c r="A25" t="s">
        <v>1985</v>
      </c>
      <c r="B25" s="1089">
        <v>6.5443000000000002E-6</v>
      </c>
      <c r="C25" s="1089">
        <v>4.1151E-5</v>
      </c>
      <c r="D25" s="1089">
        <v>1.8734999999999999E-3</v>
      </c>
      <c r="E25" s="1088">
        <v>2.4907000000000001E-6</v>
      </c>
    </row>
    <row r="26" spans="1:5" x14ac:dyDescent="0.25">
      <c r="A26" t="s">
        <v>5337</v>
      </c>
      <c r="B26" s="1089">
        <v>7.6464000000000002E-6</v>
      </c>
      <c r="C26" s="1089">
        <v>1.2082000000000001E-5</v>
      </c>
      <c r="D26" s="1089">
        <v>2.0292000000000001E-2</v>
      </c>
      <c r="E26" s="1089">
        <v>9.3498999999999995E-3</v>
      </c>
    </row>
    <row r="27" spans="1:5" x14ac:dyDescent="0.25">
      <c r="A27" t="s">
        <v>1691</v>
      </c>
      <c r="B27" s="1089">
        <v>7.7690999999999999E-6</v>
      </c>
      <c r="C27" s="1089">
        <v>3.0941000000000001E-5</v>
      </c>
      <c r="D27" s="1089">
        <v>3.9364000000000001E-4</v>
      </c>
      <c r="E27" s="1089">
        <v>1.6342999999999999E-5</v>
      </c>
    </row>
    <row r="28" spans="1:5" x14ac:dyDescent="0.25">
      <c r="A28" t="s">
        <v>1453</v>
      </c>
      <c r="B28" s="1089">
        <v>8.9167000000000005E-6</v>
      </c>
      <c r="C28" s="1089">
        <v>6.5213000000000001E-5</v>
      </c>
      <c r="D28" s="1089">
        <v>1.8967000000000001E-2</v>
      </c>
      <c r="E28" s="1089">
        <v>1.6417999999999999E-3</v>
      </c>
    </row>
    <row r="29" spans="1:5" x14ac:dyDescent="0.25">
      <c r="A29" t="s">
        <v>5338</v>
      </c>
      <c r="B29" s="1089">
        <v>1.0688E-5</v>
      </c>
      <c r="C29" s="1089">
        <v>7.8504000000000006E-5</v>
      </c>
      <c r="D29" s="1089">
        <v>5.5053999999999999E-2</v>
      </c>
      <c r="E29" s="1089">
        <v>1.7424999999999999E-3</v>
      </c>
    </row>
    <row r="30" spans="1:5" x14ac:dyDescent="0.25">
      <c r="A30" t="s">
        <v>5339</v>
      </c>
      <c r="B30" s="1089">
        <v>1.1523E-5</v>
      </c>
      <c r="C30" s="1089">
        <v>1.1524E-4</v>
      </c>
      <c r="D30" s="1089">
        <v>0.12701000000000001</v>
      </c>
      <c r="E30" s="1089">
        <v>2.2859000000000001E-2</v>
      </c>
    </row>
    <row r="31" spans="1:5" x14ac:dyDescent="0.25">
      <c r="A31" t="s">
        <v>5340</v>
      </c>
      <c r="B31" s="1089">
        <v>1.1881E-5</v>
      </c>
      <c r="C31" s="1089">
        <v>5.6234999999999999E-5</v>
      </c>
      <c r="D31" s="1089">
        <v>0.17723</v>
      </c>
      <c r="E31" s="1089">
        <v>3.8862000000000001E-2</v>
      </c>
    </row>
    <row r="32" spans="1:5" x14ac:dyDescent="0.25">
      <c r="A32" t="s">
        <v>5341</v>
      </c>
      <c r="B32" s="1089">
        <v>1.2204E-5</v>
      </c>
      <c r="C32" s="1089">
        <v>1.7116E-5</v>
      </c>
      <c r="D32" s="1089">
        <v>1.6447E-4</v>
      </c>
      <c r="E32" s="1089">
        <v>5.3216E-6</v>
      </c>
    </row>
    <row r="33" spans="1:5" x14ac:dyDescent="0.25">
      <c r="A33" t="s">
        <v>5342</v>
      </c>
      <c r="B33" s="1089">
        <v>1.2254E-5</v>
      </c>
      <c r="C33" s="1089">
        <v>1.9965E-4</v>
      </c>
      <c r="D33" s="1089">
        <v>0.10580000000000001</v>
      </c>
      <c r="E33" s="1089">
        <v>1.2754E-2</v>
      </c>
    </row>
    <row r="34" spans="1:5" x14ac:dyDescent="0.25">
      <c r="A34" t="s">
        <v>5343</v>
      </c>
      <c r="B34" s="1089">
        <v>1.295E-5</v>
      </c>
      <c r="C34" s="1089">
        <v>1.8819999999999999E-5</v>
      </c>
      <c r="D34" s="1089">
        <v>1.8874999999999999E-2</v>
      </c>
      <c r="E34" s="1089">
        <v>4.4285E-4</v>
      </c>
    </row>
    <row r="35" spans="1:5" x14ac:dyDescent="0.25">
      <c r="A35" t="s">
        <v>5344</v>
      </c>
      <c r="B35" s="1089">
        <v>1.3274E-5</v>
      </c>
      <c r="C35" s="1089">
        <v>1.4287999999999999E-4</v>
      </c>
      <c r="D35" s="1089">
        <v>5.8561000000000004E-3</v>
      </c>
      <c r="E35" s="1089">
        <v>1.5763999999999999E-4</v>
      </c>
    </row>
    <row r="36" spans="1:5" x14ac:dyDescent="0.25">
      <c r="A36" t="s">
        <v>1803</v>
      </c>
      <c r="B36" s="1089">
        <v>1.3798000000000001E-5</v>
      </c>
      <c r="C36" s="1089">
        <v>5.1511000000000002E-5</v>
      </c>
      <c r="D36" s="1089">
        <v>2.0329E-2</v>
      </c>
      <c r="E36" s="1089">
        <v>7.0657999999999997E-3</v>
      </c>
    </row>
    <row r="37" spans="1:5" x14ac:dyDescent="0.25">
      <c r="A37" t="s">
        <v>5345</v>
      </c>
      <c r="B37" s="1089">
        <v>1.4289E-5</v>
      </c>
      <c r="C37" s="1089">
        <v>4.2039000000000002E-5</v>
      </c>
      <c r="D37" s="1089">
        <v>8.7524999999999999E-3</v>
      </c>
      <c r="E37" s="1089">
        <v>1.0920999999999999E-3</v>
      </c>
    </row>
    <row r="38" spans="1:5" ht="15.75" x14ac:dyDescent="0.25">
      <c r="A38" t="s">
        <v>1986</v>
      </c>
      <c r="B38" s="1089">
        <v>1.6506000000000001E-5</v>
      </c>
      <c r="C38" s="1089">
        <v>2.0275999999999999E-4</v>
      </c>
      <c r="D38" s="1089">
        <v>1.4585999999999999E-4</v>
      </c>
      <c r="E38" s="1088">
        <v>2.9395E-6</v>
      </c>
    </row>
    <row r="39" spans="1:5" x14ac:dyDescent="0.25">
      <c r="A39" t="s">
        <v>5346</v>
      </c>
      <c r="B39" s="1089">
        <v>1.7241999999999999E-5</v>
      </c>
      <c r="C39" s="1089">
        <v>3.8641000000000001E-4</v>
      </c>
      <c r="D39" s="1089">
        <v>0.10927000000000001</v>
      </c>
      <c r="E39" s="1089">
        <v>1.1167E-2</v>
      </c>
    </row>
    <row r="40" spans="1:5" x14ac:dyDescent="0.25">
      <c r="A40" t="s">
        <v>5347</v>
      </c>
      <c r="B40" s="1089">
        <v>1.9131999999999999E-5</v>
      </c>
      <c r="C40" s="1089">
        <v>1.1383E-4</v>
      </c>
      <c r="D40" s="1089">
        <v>2.3514999999999999E-3</v>
      </c>
      <c r="E40" s="1089">
        <v>7.0146E-4</v>
      </c>
    </row>
    <row r="41" spans="1:5" x14ac:dyDescent="0.25">
      <c r="A41" t="s">
        <v>5348</v>
      </c>
      <c r="B41" s="1089">
        <v>2.0190000000000002E-5</v>
      </c>
      <c r="C41" s="1089">
        <v>8.3133999999999994E-5</v>
      </c>
      <c r="D41" s="1089">
        <v>6.7611000000000004E-2</v>
      </c>
      <c r="E41" s="1089">
        <v>5.1674999999999999E-2</v>
      </c>
    </row>
    <row r="42" spans="1:5" x14ac:dyDescent="0.25">
      <c r="A42" t="s">
        <v>5349</v>
      </c>
      <c r="B42" s="1089">
        <v>2.3229000000000001E-5</v>
      </c>
      <c r="C42" s="1089">
        <v>3.2737000000000002E-5</v>
      </c>
      <c r="D42" s="1089">
        <v>0.25752999999999998</v>
      </c>
      <c r="E42" s="1089">
        <v>0.12816</v>
      </c>
    </row>
    <row r="43" spans="1:5" x14ac:dyDescent="0.25">
      <c r="A43" t="s">
        <v>1777</v>
      </c>
      <c r="B43" s="1089">
        <v>2.4471999999999999E-5</v>
      </c>
      <c r="C43" s="1089">
        <v>2.1971E-5</v>
      </c>
      <c r="D43" s="1089">
        <v>1.5624000000000001E-4</v>
      </c>
      <c r="E43" s="1089">
        <v>1.5432000000000001E-5</v>
      </c>
    </row>
    <row r="44" spans="1:5" x14ac:dyDescent="0.25">
      <c r="A44" t="s">
        <v>5350</v>
      </c>
      <c r="B44" s="1089">
        <v>2.8824999999999999E-5</v>
      </c>
      <c r="C44" s="1089">
        <v>1.8584999999999999E-4</v>
      </c>
      <c r="D44" s="1089">
        <v>2.2463E-2</v>
      </c>
      <c r="E44" s="1089">
        <v>1.0193000000000001E-2</v>
      </c>
    </row>
    <row r="45" spans="1:5" x14ac:dyDescent="0.25">
      <c r="A45" t="s">
        <v>5351</v>
      </c>
      <c r="B45" s="1089">
        <v>3.4180999999999997E-5</v>
      </c>
      <c r="C45" s="1089">
        <v>6.2809000000000001E-5</v>
      </c>
      <c r="D45" s="1089">
        <v>4.3120000000000002E-4</v>
      </c>
      <c r="E45" s="1089">
        <v>5.4002000000000001E-2</v>
      </c>
    </row>
    <row r="46" spans="1:5" x14ac:dyDescent="0.25">
      <c r="A46" t="s">
        <v>1255</v>
      </c>
      <c r="B46" s="1089">
        <v>3.5756000000000001E-5</v>
      </c>
      <c r="C46" s="1089">
        <v>2.2629E-5</v>
      </c>
      <c r="D46" s="1089">
        <v>4.7370000000000002E-5</v>
      </c>
      <c r="E46" s="1089">
        <v>3.3076E-5</v>
      </c>
    </row>
    <row r="47" spans="1:5" x14ac:dyDescent="0.25">
      <c r="A47" t="s">
        <v>5352</v>
      </c>
      <c r="B47" s="1089">
        <v>3.7982000000000003E-5</v>
      </c>
      <c r="C47" s="1089">
        <v>1.0326E-4</v>
      </c>
      <c r="D47" s="1089">
        <v>5.3577E-3</v>
      </c>
      <c r="E47" s="1089">
        <v>2.9712E-4</v>
      </c>
    </row>
    <row r="48" spans="1:5" x14ac:dyDescent="0.25">
      <c r="A48" t="s">
        <v>1182</v>
      </c>
      <c r="B48" s="1089">
        <v>3.9362E-5</v>
      </c>
      <c r="C48" s="1089">
        <v>1.2212E-4</v>
      </c>
      <c r="D48" s="1089">
        <v>6.1729999999999999E-4</v>
      </c>
      <c r="E48" s="1089">
        <v>1.6992000000000001E-3</v>
      </c>
    </row>
    <row r="49" spans="1:5" x14ac:dyDescent="0.25">
      <c r="A49" t="s">
        <v>5353</v>
      </c>
      <c r="B49" s="1089">
        <v>3.9486000000000001E-5</v>
      </c>
      <c r="C49" s="1089">
        <v>1.2765000000000001E-4</v>
      </c>
      <c r="D49" s="1089">
        <v>0.25749</v>
      </c>
      <c r="E49" s="1089">
        <v>0.17904</v>
      </c>
    </row>
    <row r="50" spans="1:5" x14ac:dyDescent="0.25">
      <c r="A50" t="s">
        <v>5354</v>
      </c>
      <c r="B50" s="1089">
        <v>4.0182999999999998E-5</v>
      </c>
      <c r="C50" s="1089">
        <v>1.3846E-4</v>
      </c>
      <c r="D50" s="1089">
        <v>4.4613000000000001E-5</v>
      </c>
      <c r="E50" s="1089">
        <v>2.482E-5</v>
      </c>
    </row>
    <row r="51" spans="1:5" x14ac:dyDescent="0.25">
      <c r="A51" t="s">
        <v>5355</v>
      </c>
      <c r="B51" s="1089">
        <v>4.172E-5</v>
      </c>
      <c r="C51" s="1089">
        <v>2.9050000000000001E-4</v>
      </c>
      <c r="D51" s="1089">
        <v>2.7678000000000002E-4</v>
      </c>
      <c r="E51" s="1089">
        <v>1.4297999999999999E-4</v>
      </c>
    </row>
    <row r="52" spans="1:5" x14ac:dyDescent="0.25">
      <c r="A52" t="s">
        <v>5356</v>
      </c>
      <c r="B52" s="1089">
        <v>4.2715E-5</v>
      </c>
      <c r="C52" s="1089">
        <v>1.6244999999999999E-4</v>
      </c>
      <c r="D52" s="1089">
        <v>2.3496E-2</v>
      </c>
      <c r="E52" s="1089">
        <v>4.1246E-3</v>
      </c>
    </row>
    <row r="53" spans="1:5" x14ac:dyDescent="0.25">
      <c r="A53" t="s">
        <v>5357</v>
      </c>
      <c r="B53" s="1089">
        <v>4.6652E-5</v>
      </c>
      <c r="C53" s="1089">
        <v>4.8296E-5</v>
      </c>
      <c r="D53" s="1089">
        <v>4.7086999999999998E-5</v>
      </c>
      <c r="E53" s="1089">
        <v>1.4338E-3</v>
      </c>
    </row>
    <row r="54" spans="1:5" x14ac:dyDescent="0.25">
      <c r="A54" t="s">
        <v>5358</v>
      </c>
      <c r="B54" s="1089">
        <v>4.7564000000000001E-5</v>
      </c>
      <c r="C54" s="1089">
        <v>1.1081E-4</v>
      </c>
      <c r="D54" s="1089">
        <v>4.2556000000000001E-4</v>
      </c>
      <c r="E54" s="1089">
        <v>1.2168E-4</v>
      </c>
    </row>
    <row r="55" spans="1:5" x14ac:dyDescent="0.25">
      <c r="A55" t="s">
        <v>1505</v>
      </c>
      <c r="B55" s="1089">
        <v>4.9796999999999998E-5</v>
      </c>
      <c r="C55" s="1089">
        <v>8.1520999999999994E-5</v>
      </c>
      <c r="D55" s="1089">
        <v>9.5405999999999996E-4</v>
      </c>
      <c r="E55" s="1089">
        <v>1.2047E-4</v>
      </c>
    </row>
    <row r="56" spans="1:5" x14ac:dyDescent="0.25">
      <c r="A56" t="s">
        <v>5359</v>
      </c>
      <c r="B56" s="1089">
        <v>5.3241000000000001E-5</v>
      </c>
      <c r="C56" s="1089">
        <v>1.9835999999999999E-4</v>
      </c>
      <c r="D56" s="1089">
        <v>2.12E-4</v>
      </c>
      <c r="E56" s="1089">
        <v>6.5918000000000001E-6</v>
      </c>
    </row>
    <row r="57" spans="1:5" x14ac:dyDescent="0.25">
      <c r="A57" t="s">
        <v>5360</v>
      </c>
      <c r="B57" s="1089">
        <v>5.5105000000000002E-5</v>
      </c>
      <c r="C57" s="1089">
        <v>2.4876999999999999E-4</v>
      </c>
      <c r="D57" s="1089">
        <v>1.4725999999999999E-3</v>
      </c>
      <c r="E57" s="1089">
        <v>0.11824999999999999</v>
      </c>
    </row>
    <row r="58" spans="1:5" x14ac:dyDescent="0.25">
      <c r="A58" t="s">
        <v>1555</v>
      </c>
      <c r="B58" s="1089">
        <v>5.7544000000000003E-5</v>
      </c>
      <c r="C58" s="1089">
        <v>6.3763999999999997E-4</v>
      </c>
      <c r="D58" s="1089">
        <v>8.4925999999999995E-3</v>
      </c>
      <c r="E58" s="1089">
        <v>2.8622000000000001E-4</v>
      </c>
    </row>
    <row r="59" spans="1:5" x14ac:dyDescent="0.25">
      <c r="A59" t="s">
        <v>5361</v>
      </c>
      <c r="B59" s="1089">
        <v>6.4251000000000005E-5</v>
      </c>
      <c r="C59" s="1089">
        <v>3.6553000000000001E-5</v>
      </c>
      <c r="D59" s="1089">
        <v>1.4372E-3</v>
      </c>
      <c r="E59" s="1089">
        <v>1.4812E-3</v>
      </c>
    </row>
    <row r="60" spans="1:5" x14ac:dyDescent="0.25">
      <c r="A60" t="s">
        <v>5362</v>
      </c>
      <c r="B60" s="1089">
        <v>7.2880999999999996E-5</v>
      </c>
      <c r="C60" s="1089">
        <v>1.9545000000000001E-4</v>
      </c>
      <c r="D60" s="1089">
        <v>0.10734</v>
      </c>
      <c r="E60" s="1089">
        <v>9.0560000000000002E-2</v>
      </c>
    </row>
    <row r="61" spans="1:5" x14ac:dyDescent="0.25">
      <c r="A61" t="s">
        <v>5363</v>
      </c>
      <c r="B61" s="1089">
        <v>7.8669000000000002E-5</v>
      </c>
      <c r="C61" s="1089">
        <v>2.1073000000000001E-4</v>
      </c>
      <c r="D61" s="1089">
        <v>8.4221000000000001E-3</v>
      </c>
      <c r="E61" s="1089">
        <v>1.6681000000000001E-3</v>
      </c>
    </row>
    <row r="62" spans="1:5" x14ac:dyDescent="0.25">
      <c r="A62" t="s">
        <v>5364</v>
      </c>
      <c r="B62" s="1089">
        <v>8.8282999999999995E-5</v>
      </c>
      <c r="C62" s="1089">
        <v>1.6713000000000001E-4</v>
      </c>
      <c r="D62" s="1089">
        <v>8.6052999999999998E-3</v>
      </c>
      <c r="E62" s="1089">
        <v>4.1264999999999999E-5</v>
      </c>
    </row>
    <row r="63" spans="1:5" x14ac:dyDescent="0.25">
      <c r="A63" t="s">
        <v>5365</v>
      </c>
      <c r="B63" s="1089">
        <v>1.0127E-4</v>
      </c>
      <c r="C63" s="1089">
        <v>2.3651E-4</v>
      </c>
      <c r="D63" s="1089">
        <v>0.16187000000000001</v>
      </c>
      <c r="E63" s="1089">
        <v>7.4551000000000006E-2</v>
      </c>
    </row>
    <row r="64" spans="1:5" x14ac:dyDescent="0.25">
      <c r="A64" t="s">
        <v>5366</v>
      </c>
      <c r="B64" s="1089">
        <v>1.0499E-4</v>
      </c>
      <c r="C64" s="1089">
        <v>5.8247E-5</v>
      </c>
      <c r="D64" s="1089">
        <v>1.1988999999999999E-3</v>
      </c>
      <c r="E64" s="1089">
        <v>1.9269000000000001E-3</v>
      </c>
    </row>
    <row r="65" spans="1:5" x14ac:dyDescent="0.25">
      <c r="A65" t="s">
        <v>1615</v>
      </c>
      <c r="B65" s="1089">
        <v>1.0906E-4</v>
      </c>
      <c r="C65" s="1089">
        <v>5.2605000000000002E-4</v>
      </c>
      <c r="D65" s="1089">
        <v>2.3974999999999999E-3</v>
      </c>
      <c r="E65" s="1089">
        <v>6.4184999999999996E-5</v>
      </c>
    </row>
    <row r="66" spans="1:5" x14ac:dyDescent="0.25">
      <c r="A66" t="s">
        <v>5367</v>
      </c>
      <c r="B66" s="1089">
        <v>1.1734E-4</v>
      </c>
      <c r="C66" s="1089">
        <v>3.0975000000000002E-4</v>
      </c>
      <c r="D66" s="1089">
        <v>2.5542999999999998E-3</v>
      </c>
      <c r="E66" s="1089">
        <v>4.904E-2</v>
      </c>
    </row>
    <row r="67" spans="1:5" x14ac:dyDescent="0.25">
      <c r="A67" t="s">
        <v>5368</v>
      </c>
      <c r="B67" s="1089">
        <v>1.2349999999999999E-4</v>
      </c>
      <c r="C67" s="1089">
        <v>4.0758999999999999E-4</v>
      </c>
      <c r="D67" s="1089">
        <v>1.0662E-3</v>
      </c>
      <c r="E67" s="1089">
        <v>4.5207999999999998E-5</v>
      </c>
    </row>
    <row r="68" spans="1:5" x14ac:dyDescent="0.25">
      <c r="A68" t="s">
        <v>5369</v>
      </c>
      <c r="B68" s="1089">
        <v>1.2496999999999999E-4</v>
      </c>
      <c r="C68" s="1089">
        <v>1.0319000000000001E-4</v>
      </c>
      <c r="D68" s="1089">
        <v>2.2772000000000001E-2</v>
      </c>
      <c r="E68" s="1089">
        <v>2.0646999999999999E-2</v>
      </c>
    </row>
    <row r="69" spans="1:5" x14ac:dyDescent="0.25">
      <c r="A69" t="s">
        <v>5370</v>
      </c>
      <c r="B69" s="1089">
        <v>1.2536000000000001E-4</v>
      </c>
      <c r="C69" s="1089">
        <v>3.3813000000000002E-4</v>
      </c>
      <c r="D69" s="1089">
        <v>5.7077000000000003E-2</v>
      </c>
      <c r="E69" s="1089">
        <v>5.3981000000000003E-3</v>
      </c>
    </row>
    <row r="70" spans="1:5" x14ac:dyDescent="0.25">
      <c r="A70" t="s">
        <v>1543</v>
      </c>
      <c r="B70" s="1089">
        <v>1.3074000000000001E-4</v>
      </c>
      <c r="C70" s="1089">
        <v>1.0079E-4</v>
      </c>
      <c r="D70" s="1089">
        <v>2.0474E-3</v>
      </c>
      <c r="E70" s="1089">
        <v>7.1780999999999996E-5</v>
      </c>
    </row>
    <row r="71" spans="1:5" x14ac:dyDescent="0.25">
      <c r="A71" t="s">
        <v>5371</v>
      </c>
      <c r="B71" s="1089">
        <v>1.3190000000000001E-4</v>
      </c>
      <c r="C71" s="1089">
        <v>5.0680000000000003E-5</v>
      </c>
      <c r="D71" s="1089">
        <v>5.8294000000000002E-3</v>
      </c>
      <c r="E71" s="1089">
        <v>5.6169E-4</v>
      </c>
    </row>
    <row r="72" spans="1:5" x14ac:dyDescent="0.25">
      <c r="A72" t="s">
        <v>5372</v>
      </c>
      <c r="B72" s="1089">
        <v>1.3268000000000001E-4</v>
      </c>
      <c r="C72" s="1089">
        <v>1.172E-4</v>
      </c>
      <c r="D72" s="1089">
        <v>4.2307999999999999E-4</v>
      </c>
      <c r="E72" s="1089">
        <v>6.0245999999999997E-4</v>
      </c>
    </row>
    <row r="73" spans="1:5" x14ac:dyDescent="0.25">
      <c r="A73" t="s">
        <v>5373</v>
      </c>
      <c r="B73" s="1089">
        <v>1.3683E-4</v>
      </c>
      <c r="C73" s="1089">
        <v>4.0792999999999998E-4</v>
      </c>
      <c r="D73" s="1089">
        <v>8.1578999999999992E-3</v>
      </c>
      <c r="E73" s="1089">
        <v>2.3300999999999999E-3</v>
      </c>
    </row>
    <row r="74" spans="1:5" x14ac:dyDescent="0.25">
      <c r="A74" t="s">
        <v>5374</v>
      </c>
      <c r="B74" s="1089">
        <v>1.4339999999999999E-4</v>
      </c>
      <c r="C74" s="1089">
        <v>1.4461000000000001E-4</v>
      </c>
      <c r="D74" s="1089">
        <v>2.1573999999999999E-2</v>
      </c>
      <c r="E74" s="1089">
        <v>1.1358E-2</v>
      </c>
    </row>
    <row r="75" spans="1:5" x14ac:dyDescent="0.25">
      <c r="A75" t="s">
        <v>5375</v>
      </c>
      <c r="B75" s="1089">
        <v>1.5171E-4</v>
      </c>
      <c r="C75" s="1089">
        <v>3.4228999999999998E-4</v>
      </c>
      <c r="D75" s="1089">
        <v>6.8228999999999998E-2</v>
      </c>
      <c r="E75" s="1089">
        <v>0.21518999999999999</v>
      </c>
    </row>
    <row r="76" spans="1:5" x14ac:dyDescent="0.25">
      <c r="A76" t="s">
        <v>5376</v>
      </c>
      <c r="B76" s="1089">
        <v>1.5689E-4</v>
      </c>
      <c r="C76" s="1089">
        <v>7.2364E-4</v>
      </c>
      <c r="D76" s="1089">
        <v>2.325E-2</v>
      </c>
      <c r="E76" s="1089">
        <v>1.0508E-2</v>
      </c>
    </row>
    <row r="77" spans="1:5" x14ac:dyDescent="0.25">
      <c r="A77" t="s">
        <v>5377</v>
      </c>
      <c r="B77" s="1089">
        <v>1.6585999999999999E-4</v>
      </c>
      <c r="C77" s="1089">
        <v>1.8107999999999999E-4</v>
      </c>
      <c r="D77" s="1089">
        <v>1.4459E-2</v>
      </c>
      <c r="E77" s="1089">
        <v>6.2156000000000003E-2</v>
      </c>
    </row>
    <row r="78" spans="1:5" x14ac:dyDescent="0.25">
      <c r="A78" t="s">
        <v>5378</v>
      </c>
      <c r="B78" s="1089">
        <v>1.6666000000000001E-4</v>
      </c>
      <c r="C78" s="1089">
        <v>4.395E-4</v>
      </c>
      <c r="D78" s="1089">
        <v>8.6321999999999996E-3</v>
      </c>
      <c r="E78" s="1089">
        <v>9.5686999999999994E-5</v>
      </c>
    </row>
    <row r="79" spans="1:5" x14ac:dyDescent="0.25">
      <c r="A79" t="s">
        <v>5379</v>
      </c>
      <c r="B79" s="1089">
        <v>1.7326E-4</v>
      </c>
      <c r="C79" s="1089">
        <v>4.5374E-4</v>
      </c>
      <c r="D79" s="1089">
        <v>1.0582E-3</v>
      </c>
      <c r="E79" s="1089">
        <v>8.5593000000000005E-5</v>
      </c>
    </row>
    <row r="80" spans="1:5" x14ac:dyDescent="0.25">
      <c r="A80" t="s">
        <v>1128</v>
      </c>
      <c r="B80" s="1089">
        <v>1.7828000000000001E-4</v>
      </c>
      <c r="C80" s="1089">
        <v>5.8684999999999998E-4</v>
      </c>
      <c r="D80" s="1089">
        <v>4.5668000000000002E-3</v>
      </c>
      <c r="E80" s="1089">
        <v>5.8430999999999999E-4</v>
      </c>
    </row>
    <row r="81" spans="1:5" x14ac:dyDescent="0.25">
      <c r="A81" t="s">
        <v>5380</v>
      </c>
      <c r="B81" s="1089">
        <v>1.8772999999999999E-4</v>
      </c>
      <c r="C81" s="1089">
        <v>3.9005000000000002E-4</v>
      </c>
      <c r="D81" s="1089">
        <v>1.4831E-2</v>
      </c>
      <c r="E81" s="1089">
        <v>7.3325999999999999E-3</v>
      </c>
    </row>
    <row r="82" spans="1:5" x14ac:dyDescent="0.25">
      <c r="A82" t="s">
        <v>5381</v>
      </c>
      <c r="B82" s="1089">
        <v>1.8825999999999999E-4</v>
      </c>
      <c r="C82" s="1089">
        <v>6.8440999999999999E-4</v>
      </c>
      <c r="D82" s="1089">
        <v>4.0216000000000002E-3</v>
      </c>
      <c r="E82" s="1089">
        <v>3.1096000000000001E-3</v>
      </c>
    </row>
    <row r="83" spans="1:5" x14ac:dyDescent="0.25">
      <c r="A83" t="s">
        <v>5382</v>
      </c>
      <c r="B83" s="1089">
        <v>1.8928E-4</v>
      </c>
      <c r="C83" s="1089">
        <v>2.4462000000000003E-4</v>
      </c>
      <c r="D83" s="1089">
        <v>1.683E-3</v>
      </c>
      <c r="E83" s="1089">
        <v>4.4850999999999997E-3</v>
      </c>
    </row>
    <row r="84" spans="1:5" ht="15.75" x14ac:dyDescent="0.25">
      <c r="A84" t="s">
        <v>1983</v>
      </c>
      <c r="B84" s="1089">
        <v>1.9806000000000001E-4</v>
      </c>
      <c r="C84" s="1089">
        <v>1.1937E-4</v>
      </c>
      <c r="D84" s="1089">
        <v>3.5964999999999999E-5</v>
      </c>
      <c r="E84" s="1088">
        <v>1.1986000000000001E-6</v>
      </c>
    </row>
    <row r="85" spans="1:5" x14ac:dyDescent="0.25">
      <c r="A85" t="s">
        <v>5383</v>
      </c>
      <c r="B85" s="1089">
        <v>2.0979000000000001E-4</v>
      </c>
      <c r="C85" s="1089">
        <v>6.9435000000000005E-4</v>
      </c>
      <c r="D85" s="1089">
        <v>0.17155000000000001</v>
      </c>
      <c r="E85" s="1089">
        <v>3.1630999999999999E-2</v>
      </c>
    </row>
    <row r="86" spans="1:5" ht="15.75" x14ac:dyDescent="0.25">
      <c r="A86" t="s">
        <v>1984</v>
      </c>
      <c r="B86" s="1089">
        <v>2.1010000000000001E-4</v>
      </c>
      <c r="C86" s="1089">
        <v>2.2379E-4</v>
      </c>
      <c r="D86" s="1089">
        <v>2.228E-5</v>
      </c>
      <c r="E86" s="1088">
        <v>1.3198000000000001E-6</v>
      </c>
    </row>
    <row r="87" spans="1:5" x14ac:dyDescent="0.25">
      <c r="A87" t="s">
        <v>5384</v>
      </c>
      <c r="B87" s="1089">
        <v>2.2006E-4</v>
      </c>
      <c r="C87" s="1089">
        <v>6.5843E-4</v>
      </c>
      <c r="D87" s="1089">
        <v>0.14798</v>
      </c>
      <c r="E87" s="1089">
        <v>4.7884000000000003E-2</v>
      </c>
    </row>
    <row r="88" spans="1:5" x14ac:dyDescent="0.25">
      <c r="A88" t="s">
        <v>5385</v>
      </c>
      <c r="B88" s="1089">
        <v>2.2110000000000001E-4</v>
      </c>
      <c r="C88" s="1089">
        <v>3.3909000000000001E-4</v>
      </c>
      <c r="D88" s="1089">
        <v>1.3538E-2</v>
      </c>
      <c r="E88" s="1089">
        <v>5.2632E-3</v>
      </c>
    </row>
    <row r="89" spans="1:5" x14ac:dyDescent="0.25">
      <c r="A89" t="s">
        <v>5386</v>
      </c>
      <c r="B89" s="1089">
        <v>2.2326E-4</v>
      </c>
      <c r="C89" s="1089">
        <v>3.8675999999999999E-4</v>
      </c>
      <c r="D89" s="1089">
        <v>9.6794999999999997E-4</v>
      </c>
      <c r="E89" s="1089">
        <v>3.4822E-4</v>
      </c>
    </row>
    <row r="90" spans="1:5" x14ac:dyDescent="0.25">
      <c r="A90" t="s">
        <v>5387</v>
      </c>
      <c r="B90" s="1089">
        <v>2.2694999999999999E-4</v>
      </c>
      <c r="C90" s="1089">
        <v>1.6782E-4</v>
      </c>
      <c r="D90" s="1089">
        <v>2.7359999999999999E-2</v>
      </c>
      <c r="E90" s="1089">
        <v>6.2944999999999997E-3</v>
      </c>
    </row>
    <row r="91" spans="1:5" x14ac:dyDescent="0.25">
      <c r="A91" t="s">
        <v>5388</v>
      </c>
      <c r="B91" s="1089">
        <v>2.3546999999999999E-4</v>
      </c>
      <c r="C91" s="1089">
        <v>3.1786999999999999E-4</v>
      </c>
      <c r="D91" s="1089">
        <v>2.7095999999999999E-3</v>
      </c>
      <c r="E91" s="1089">
        <v>1.2768E-3</v>
      </c>
    </row>
    <row r="92" spans="1:5" x14ac:dyDescent="0.25">
      <c r="A92" t="s">
        <v>5389</v>
      </c>
      <c r="B92" s="1089">
        <v>2.4203000000000001E-4</v>
      </c>
      <c r="C92" s="1089">
        <v>2.8653000000000001E-4</v>
      </c>
      <c r="D92" s="1089">
        <v>2.0817000000000001E-3</v>
      </c>
      <c r="E92" s="1089">
        <v>1.4851E-3</v>
      </c>
    </row>
    <row r="93" spans="1:5" x14ac:dyDescent="0.25">
      <c r="A93" t="s">
        <v>1347</v>
      </c>
      <c r="B93" s="1089">
        <v>2.8102999999999998E-4</v>
      </c>
      <c r="C93" s="1089">
        <v>3.2416999999999998E-4</v>
      </c>
      <c r="D93" s="1089">
        <v>5.8517999999999999E-3</v>
      </c>
      <c r="E93" s="1089">
        <v>9.3141999999999999E-3</v>
      </c>
    </row>
    <row r="94" spans="1:5" x14ac:dyDescent="0.25">
      <c r="A94" t="s">
        <v>5390</v>
      </c>
      <c r="B94" s="1089">
        <v>2.9086999999999998E-4</v>
      </c>
      <c r="C94" s="1089">
        <v>1.0073E-3</v>
      </c>
      <c r="D94" s="1089">
        <v>8.4148000000000001E-2</v>
      </c>
      <c r="E94" s="1089">
        <v>8.4338999999999997E-2</v>
      </c>
    </row>
    <row r="95" spans="1:5" x14ac:dyDescent="0.25">
      <c r="A95" t="s">
        <v>5391</v>
      </c>
      <c r="B95" s="1089">
        <v>2.9275999999999998E-4</v>
      </c>
      <c r="C95" s="1089">
        <v>3.3531000000000001E-4</v>
      </c>
      <c r="D95" s="1089">
        <v>1.526E-4</v>
      </c>
      <c r="E95" s="1089">
        <v>3.4242000000000002E-4</v>
      </c>
    </row>
    <row r="96" spans="1:5" x14ac:dyDescent="0.25">
      <c r="A96" t="s">
        <v>5392</v>
      </c>
      <c r="B96" s="1089">
        <v>2.9281000000000001E-4</v>
      </c>
      <c r="C96" s="1089">
        <v>3.6717999999999999E-4</v>
      </c>
      <c r="D96" s="1089">
        <v>2.7196999999999999E-2</v>
      </c>
      <c r="E96" s="1089">
        <v>8.6946000000000002E-3</v>
      </c>
    </row>
    <row r="97" spans="1:5" x14ac:dyDescent="0.25">
      <c r="A97" t="s">
        <v>5393</v>
      </c>
      <c r="B97" s="1089">
        <v>2.9932E-4</v>
      </c>
      <c r="C97" s="1089">
        <v>9.7669000000000003E-5</v>
      </c>
      <c r="D97" s="1089">
        <v>1.1975E-2</v>
      </c>
      <c r="E97" s="1089">
        <v>1.3538999999999999E-3</v>
      </c>
    </row>
    <row r="98" spans="1:5" x14ac:dyDescent="0.25">
      <c r="A98" t="s">
        <v>5394</v>
      </c>
      <c r="B98" s="1089">
        <v>3.0503000000000003E-4</v>
      </c>
      <c r="C98" s="1089">
        <v>3.9157999999999999E-4</v>
      </c>
      <c r="D98" s="1089">
        <v>2.3730999999999999E-3</v>
      </c>
      <c r="E98" s="1089">
        <v>2.6160000000000002E-4</v>
      </c>
    </row>
    <row r="99" spans="1:5" x14ac:dyDescent="0.25">
      <c r="A99" t="s">
        <v>1217</v>
      </c>
      <c r="B99" s="1089">
        <v>3.0571999999999999E-4</v>
      </c>
      <c r="C99" s="1089">
        <v>2.1863000000000001E-4</v>
      </c>
      <c r="D99" s="1089">
        <v>2.7831999999999999E-2</v>
      </c>
      <c r="E99" s="1089">
        <v>1.4026E-2</v>
      </c>
    </row>
    <row r="100" spans="1:5" x14ac:dyDescent="0.25">
      <c r="A100" t="s">
        <v>1142</v>
      </c>
      <c r="B100" s="1089">
        <v>3.2077000000000001E-4</v>
      </c>
      <c r="C100" s="1089">
        <v>1.6703E-3</v>
      </c>
      <c r="D100" s="1089">
        <v>9.0250999999999994E-3</v>
      </c>
      <c r="E100" s="1089">
        <v>3.5094999999999999E-4</v>
      </c>
    </row>
    <row r="101" spans="1:5" x14ac:dyDescent="0.25">
      <c r="A101" t="s">
        <v>5395</v>
      </c>
      <c r="B101" s="1089">
        <v>3.3014999999999997E-4</v>
      </c>
      <c r="C101" s="1089">
        <v>1.1934000000000001E-4</v>
      </c>
      <c r="D101" s="1089">
        <v>6.7150999999999995E-5</v>
      </c>
      <c r="E101" s="1089">
        <v>2.4978000000000001E-4</v>
      </c>
    </row>
    <row r="102" spans="1:5" x14ac:dyDescent="0.25">
      <c r="A102" t="s">
        <v>1170</v>
      </c>
      <c r="B102" s="1089">
        <v>3.3723E-4</v>
      </c>
      <c r="C102" s="1089">
        <v>9.5310999999999996E-4</v>
      </c>
      <c r="D102" s="1089">
        <v>2.1963E-3</v>
      </c>
      <c r="E102" s="1089">
        <v>5.0905999999999998E-3</v>
      </c>
    </row>
    <row r="103" spans="1:5" x14ac:dyDescent="0.25">
      <c r="A103" t="s">
        <v>5396</v>
      </c>
      <c r="B103" s="1089">
        <v>3.3963999999999999E-4</v>
      </c>
      <c r="C103" s="1089">
        <v>4.6168000000000001E-4</v>
      </c>
      <c r="D103" s="1089">
        <v>8.3587999999999996E-2</v>
      </c>
      <c r="E103" s="1089">
        <v>1.9495999999999999E-2</v>
      </c>
    </row>
    <row r="104" spans="1:5" x14ac:dyDescent="0.25">
      <c r="A104" t="s">
        <v>5397</v>
      </c>
      <c r="B104" s="1089">
        <v>3.4088E-4</v>
      </c>
      <c r="C104" s="1089">
        <v>6.0444000000000003E-4</v>
      </c>
      <c r="D104" s="1089">
        <v>7.0657000000000003E-3</v>
      </c>
      <c r="E104" s="1089">
        <v>3.0276999999999999E-3</v>
      </c>
    </row>
    <row r="105" spans="1:5" x14ac:dyDescent="0.25">
      <c r="A105" t="s">
        <v>5398</v>
      </c>
      <c r="B105" s="1089">
        <v>3.4342999999999998E-4</v>
      </c>
      <c r="C105" s="1089">
        <v>2.9084E-4</v>
      </c>
      <c r="D105" s="1089">
        <v>7.2953000000000004E-5</v>
      </c>
      <c r="E105" s="1089">
        <v>9.6282999999999994E-2</v>
      </c>
    </row>
    <row r="106" spans="1:5" x14ac:dyDescent="0.25">
      <c r="A106" t="s">
        <v>5399</v>
      </c>
      <c r="B106" s="1089">
        <v>3.5385000000000001E-4</v>
      </c>
      <c r="C106" s="1089">
        <v>7.7216999999999997E-4</v>
      </c>
      <c r="D106" s="1089">
        <v>9.4101000000000004E-2</v>
      </c>
      <c r="E106" s="1089">
        <v>2.5902000000000001E-2</v>
      </c>
    </row>
    <row r="107" spans="1:5" x14ac:dyDescent="0.25">
      <c r="A107" t="s">
        <v>5400</v>
      </c>
      <c r="B107" s="1089">
        <v>3.5547999999999998E-4</v>
      </c>
      <c r="C107" s="1089">
        <v>1.226E-4</v>
      </c>
      <c r="D107" s="1089">
        <v>5.6437000000000001E-2</v>
      </c>
      <c r="E107" s="1089">
        <v>1.4291999999999999E-2</v>
      </c>
    </row>
    <row r="108" spans="1:5" x14ac:dyDescent="0.25">
      <c r="A108" t="s">
        <v>1789</v>
      </c>
      <c r="B108" s="1089">
        <v>3.5650999999999999E-4</v>
      </c>
      <c r="C108" s="1089">
        <v>9.2610999999999995E-4</v>
      </c>
      <c r="D108" s="1089">
        <v>8.1761999999999998E-3</v>
      </c>
      <c r="E108" s="1089">
        <v>5.2157999999999996E-3</v>
      </c>
    </row>
    <row r="109" spans="1:5" x14ac:dyDescent="0.25">
      <c r="A109" t="s">
        <v>5401</v>
      </c>
      <c r="B109" s="1089">
        <v>3.6884E-4</v>
      </c>
      <c r="C109" s="1089">
        <v>1.1118E-3</v>
      </c>
      <c r="D109" s="1089">
        <v>0.14452000000000001</v>
      </c>
      <c r="E109" s="1089">
        <v>2.8077000000000001E-2</v>
      </c>
    </row>
    <row r="110" spans="1:5" x14ac:dyDescent="0.25">
      <c r="A110" t="s">
        <v>5402</v>
      </c>
      <c r="B110" s="1089">
        <v>3.7094999999999999E-4</v>
      </c>
      <c r="C110" s="1089">
        <v>1.5632999999999999E-4</v>
      </c>
      <c r="D110" s="1089">
        <v>1.0676000000000001E-5</v>
      </c>
      <c r="E110" s="1089">
        <v>1.339E-4</v>
      </c>
    </row>
    <row r="111" spans="1:5" x14ac:dyDescent="0.25">
      <c r="A111" t="s">
        <v>5403</v>
      </c>
      <c r="B111" s="1089">
        <v>3.8021000000000002E-4</v>
      </c>
      <c r="C111" s="1089">
        <v>7.4469E-4</v>
      </c>
      <c r="D111" s="1089">
        <v>3.1459000000000001E-2</v>
      </c>
      <c r="E111" s="1089">
        <v>4.0955999999999999E-2</v>
      </c>
    </row>
    <row r="112" spans="1:5" x14ac:dyDescent="0.25">
      <c r="A112" t="s">
        <v>1465</v>
      </c>
      <c r="B112" s="1089">
        <v>3.9552000000000001E-4</v>
      </c>
      <c r="C112" s="1089">
        <v>8.8418000000000004E-4</v>
      </c>
      <c r="D112" s="1089">
        <v>1.6164999999999999E-2</v>
      </c>
      <c r="E112" s="1089">
        <v>2.5823999999999999E-3</v>
      </c>
    </row>
    <row r="113" spans="1:5" x14ac:dyDescent="0.25">
      <c r="A113" t="s">
        <v>1411</v>
      </c>
      <c r="B113" s="1089">
        <v>4.0805000000000003E-4</v>
      </c>
      <c r="C113" s="1089">
        <v>1.2627000000000001E-3</v>
      </c>
      <c r="D113" s="1089">
        <v>2.6627999999999999E-3</v>
      </c>
      <c r="E113" s="1089">
        <v>6.3040999999999998E-4</v>
      </c>
    </row>
    <row r="114" spans="1:5" x14ac:dyDescent="0.25">
      <c r="A114" t="s">
        <v>5404</v>
      </c>
      <c r="B114" s="1089">
        <v>4.1992E-4</v>
      </c>
      <c r="C114" s="1089">
        <v>6.9649999999999996E-4</v>
      </c>
      <c r="D114" s="1089">
        <v>4.6829000000000003E-3</v>
      </c>
      <c r="E114" s="1089">
        <v>3.2634000000000001E-3</v>
      </c>
    </row>
    <row r="115" spans="1:5" x14ac:dyDescent="0.25">
      <c r="A115" t="s">
        <v>5405</v>
      </c>
      <c r="B115" s="1089">
        <v>4.2737999999999999E-4</v>
      </c>
      <c r="C115" s="1089">
        <v>2.4549000000000001E-4</v>
      </c>
      <c r="D115" s="1089">
        <v>0.63649</v>
      </c>
      <c r="E115" s="1089">
        <v>0.41965999999999998</v>
      </c>
    </row>
    <row r="116" spans="1:5" x14ac:dyDescent="0.25">
      <c r="A116" t="s">
        <v>5406</v>
      </c>
      <c r="B116" s="1089">
        <v>5.7932999999999997E-4</v>
      </c>
      <c r="C116" s="1089">
        <v>6.6483000000000004E-4</v>
      </c>
      <c r="D116" s="1089">
        <v>1.1421000000000001E-4</v>
      </c>
      <c r="E116" s="1089">
        <v>1.7378000000000001E-4</v>
      </c>
    </row>
    <row r="117" spans="1:5" x14ac:dyDescent="0.25">
      <c r="A117" t="s">
        <v>5407</v>
      </c>
      <c r="B117" s="1089">
        <v>6.1105000000000003E-4</v>
      </c>
      <c r="C117" s="1089">
        <v>9.5912999999999999E-4</v>
      </c>
      <c r="D117" s="1089">
        <v>2.8966E-3</v>
      </c>
      <c r="E117" s="1089">
        <v>8.2081000000000002E-5</v>
      </c>
    </row>
    <row r="118" spans="1:5" x14ac:dyDescent="0.25">
      <c r="A118" t="s">
        <v>5408</v>
      </c>
      <c r="B118" s="1089">
        <v>6.4689000000000001E-4</v>
      </c>
      <c r="C118" s="1089">
        <v>2.4968E-3</v>
      </c>
      <c r="D118" s="1089">
        <v>4.1422999999999998E-3</v>
      </c>
      <c r="E118" s="1089">
        <v>1.6007E-4</v>
      </c>
    </row>
    <row r="119" spans="1:5" x14ac:dyDescent="0.25">
      <c r="A119" t="s">
        <v>5409</v>
      </c>
      <c r="B119" s="1089">
        <v>7.0931E-4</v>
      </c>
      <c r="C119" s="1089">
        <v>1.0405E-3</v>
      </c>
      <c r="D119" s="1089">
        <v>7.3114999999999994E-5</v>
      </c>
      <c r="E119" s="1089">
        <v>1.8485999999999999E-5</v>
      </c>
    </row>
    <row r="120" spans="1:5" ht="15.75" x14ac:dyDescent="0.25">
      <c r="A120" t="s">
        <v>5410</v>
      </c>
      <c r="B120" s="1089">
        <v>8.5242E-4</v>
      </c>
      <c r="C120" s="1089">
        <v>7.6411999999999997E-4</v>
      </c>
      <c r="D120" s="1088">
        <v>3.5397000000000002E-6</v>
      </c>
      <c r="E120" s="1089">
        <v>7.9475999999999999E-6</v>
      </c>
    </row>
    <row r="121" spans="1:5" x14ac:dyDescent="0.25">
      <c r="A121" t="s">
        <v>5411</v>
      </c>
      <c r="B121" s="1089">
        <v>9.3172999999999997E-4</v>
      </c>
      <c r="C121" s="1089">
        <v>7.0748000000000002E-4</v>
      </c>
      <c r="D121" s="1089">
        <v>9.0505999999999996E-4</v>
      </c>
      <c r="E121" s="1089">
        <v>4.4105000000000001E-4</v>
      </c>
    </row>
    <row r="122" spans="1:5" x14ac:dyDescent="0.25">
      <c r="A122" t="s">
        <v>5412</v>
      </c>
      <c r="B122" s="1089">
        <v>9.3873999999999997E-4</v>
      </c>
      <c r="C122" s="1089">
        <v>3.9503000000000003E-3</v>
      </c>
      <c r="D122" s="1089">
        <v>3.9519000000000002E-4</v>
      </c>
      <c r="E122" s="1089">
        <v>1.1195E-4</v>
      </c>
    </row>
    <row r="123" spans="1:5" x14ac:dyDescent="0.25">
      <c r="A123" t="s">
        <v>1898</v>
      </c>
      <c r="B123" s="1089">
        <v>9.6913999999999995E-4</v>
      </c>
      <c r="C123" s="1089">
        <v>2.4545000000000001E-3</v>
      </c>
      <c r="D123" s="1089">
        <v>4.8225E-5</v>
      </c>
      <c r="E123" s="1089">
        <v>1.3523000000000001E-5</v>
      </c>
    </row>
    <row r="124" spans="1:5" x14ac:dyDescent="0.25">
      <c r="A124" t="s">
        <v>5413</v>
      </c>
      <c r="B124" s="1089">
        <v>1.0563E-3</v>
      </c>
      <c r="C124" s="1089">
        <v>8.1335000000000001E-4</v>
      </c>
      <c r="D124" s="1089">
        <v>9.5526999999999995E-5</v>
      </c>
      <c r="E124" s="1089">
        <v>1.0886999999999999E-5</v>
      </c>
    </row>
    <row r="125" spans="1:5" x14ac:dyDescent="0.25">
      <c r="A125" t="s">
        <v>5414</v>
      </c>
      <c r="B125" s="1089">
        <v>1.1226999999999999E-3</v>
      </c>
      <c r="C125" s="1089">
        <v>1.2972000000000001E-3</v>
      </c>
      <c r="D125" s="1089">
        <v>3.2400000000000001E-4</v>
      </c>
      <c r="E125" s="1089">
        <v>4.3530000000000001E-4</v>
      </c>
    </row>
    <row r="126" spans="1:5" x14ac:dyDescent="0.25">
      <c r="A126" t="s">
        <v>5415</v>
      </c>
      <c r="B126" s="1089">
        <v>1.1447E-3</v>
      </c>
      <c r="C126" s="1089">
        <v>1.4322E-3</v>
      </c>
      <c r="D126" s="1089">
        <v>1.0012E-3</v>
      </c>
      <c r="E126" s="1089">
        <v>1.7143E-4</v>
      </c>
    </row>
    <row r="127" spans="1:5" x14ac:dyDescent="0.25">
      <c r="A127" t="s">
        <v>5416</v>
      </c>
      <c r="B127" s="1089">
        <v>1.1447E-3</v>
      </c>
      <c r="C127" s="1089">
        <v>4.7527000000000002E-4</v>
      </c>
      <c r="D127" s="1089">
        <v>1.1134E-4</v>
      </c>
      <c r="E127" s="1089">
        <v>3.1677000000000002E-4</v>
      </c>
    </row>
    <row r="128" spans="1:5" x14ac:dyDescent="0.25">
      <c r="A128" t="s">
        <v>5417</v>
      </c>
      <c r="B128" s="1089">
        <v>1.1482E-3</v>
      </c>
      <c r="C128" s="1089">
        <v>9.5423000000000003E-4</v>
      </c>
      <c r="D128" s="1089">
        <v>2.1756000000000002E-3</v>
      </c>
      <c r="E128" s="1089">
        <v>7.0353999999999998E-5</v>
      </c>
    </row>
    <row r="129" spans="1:5" x14ac:dyDescent="0.25">
      <c r="A129" t="s">
        <v>1229</v>
      </c>
      <c r="B129" s="1089">
        <v>1.1756E-3</v>
      </c>
      <c r="C129" s="1089">
        <v>1.1375999999999999E-3</v>
      </c>
      <c r="D129" s="1089">
        <v>1.4448E-4</v>
      </c>
      <c r="E129" s="1089">
        <v>3.3980000000000002E-4</v>
      </c>
    </row>
    <row r="130" spans="1:5" x14ac:dyDescent="0.25">
      <c r="A130" t="s">
        <v>5418</v>
      </c>
      <c r="B130" s="1089">
        <v>1.5799E-3</v>
      </c>
      <c r="C130" s="1089">
        <v>1.6331E-3</v>
      </c>
      <c r="D130" s="1089">
        <v>6.5376999999999994E-5</v>
      </c>
      <c r="E130" s="1089">
        <v>1.0382000000000001E-4</v>
      </c>
    </row>
    <row r="131" spans="1:5" x14ac:dyDescent="0.25">
      <c r="A131" t="s">
        <v>5419</v>
      </c>
      <c r="B131" s="1089">
        <v>1.6294E-3</v>
      </c>
      <c r="C131" s="1089">
        <v>3.3454000000000001E-3</v>
      </c>
      <c r="D131" s="1089">
        <v>4.9969000000000001E-4</v>
      </c>
      <c r="E131" s="1089">
        <v>4.2216999999999998E-4</v>
      </c>
    </row>
    <row r="132" spans="1:5" x14ac:dyDescent="0.25">
      <c r="A132" t="s">
        <v>5420</v>
      </c>
      <c r="B132" s="1089">
        <v>1.7851E-3</v>
      </c>
      <c r="C132" s="1089">
        <v>1.4794000000000001E-3</v>
      </c>
      <c r="D132" s="1089">
        <v>1.6666000000000001E-3</v>
      </c>
      <c r="E132" s="1089">
        <v>9.9952999999999997E-5</v>
      </c>
    </row>
    <row r="133" spans="1:5" x14ac:dyDescent="0.25">
      <c r="A133" t="s">
        <v>1398</v>
      </c>
      <c r="B133" s="1089">
        <v>1.8814000000000001E-3</v>
      </c>
      <c r="C133" s="1089">
        <v>1.0858E-3</v>
      </c>
      <c r="D133" s="1089">
        <v>5.5424999999999999E-6</v>
      </c>
      <c r="E133" s="1089">
        <v>1.185E-5</v>
      </c>
    </row>
    <row r="134" spans="1:5" x14ac:dyDescent="0.25">
      <c r="A134" t="s">
        <v>5421</v>
      </c>
      <c r="B134" s="1089">
        <v>2.0098E-3</v>
      </c>
      <c r="C134" s="1089">
        <v>1.7037E-2</v>
      </c>
      <c r="D134" s="1089">
        <v>1.5084E-3</v>
      </c>
      <c r="E134" s="1089">
        <v>3.4987999999999998E-5</v>
      </c>
    </row>
    <row r="135" spans="1:5" x14ac:dyDescent="0.25">
      <c r="A135" t="s">
        <v>5422</v>
      </c>
      <c r="B135" s="1089">
        <v>2.0520999999999998E-3</v>
      </c>
      <c r="C135" s="1089">
        <v>4.8136000000000003E-3</v>
      </c>
      <c r="D135" s="1089">
        <v>7.7087000000000002E-5</v>
      </c>
      <c r="E135" s="1089">
        <v>2.5448000000000001E-5</v>
      </c>
    </row>
    <row r="136" spans="1:5" x14ac:dyDescent="0.25">
      <c r="A136" t="s">
        <v>5423</v>
      </c>
      <c r="B136" s="1089">
        <v>2.0991999999999999E-3</v>
      </c>
      <c r="C136" s="1089">
        <v>5.117E-3</v>
      </c>
      <c r="D136" s="1089">
        <v>8.8243000000000002E-3</v>
      </c>
      <c r="E136" s="1089">
        <v>3.9305999999999998E-4</v>
      </c>
    </row>
    <row r="137" spans="1:5" x14ac:dyDescent="0.25">
      <c r="A137" t="s">
        <v>1791</v>
      </c>
      <c r="B137" s="1089">
        <v>2.1884999999999999E-3</v>
      </c>
      <c r="C137" s="1089">
        <v>6.8287999999999997E-4</v>
      </c>
      <c r="D137" s="1089">
        <v>4.6198000000000002E-4</v>
      </c>
      <c r="E137" s="1089">
        <v>3.2037999999999999E-4</v>
      </c>
    </row>
    <row r="138" spans="1:5" x14ac:dyDescent="0.25">
      <c r="A138" t="s">
        <v>5424</v>
      </c>
      <c r="B138" s="1089">
        <v>2.2082E-3</v>
      </c>
      <c r="C138" s="1089">
        <v>2.379E-3</v>
      </c>
      <c r="D138" s="1089">
        <v>1.7827000000000001E-4</v>
      </c>
      <c r="E138" s="1089">
        <v>3.4754E-5</v>
      </c>
    </row>
    <row r="139" spans="1:5" x14ac:dyDescent="0.25">
      <c r="A139" t="s">
        <v>5425</v>
      </c>
      <c r="B139" s="1089">
        <v>2.2878999999999998E-3</v>
      </c>
      <c r="C139" s="1089">
        <v>1.4173E-3</v>
      </c>
      <c r="D139" s="1089">
        <v>1.7246E-3</v>
      </c>
      <c r="E139" s="1089">
        <v>3.7084999999999999E-4</v>
      </c>
    </row>
    <row r="140" spans="1:5" x14ac:dyDescent="0.25">
      <c r="A140" t="s">
        <v>5426</v>
      </c>
      <c r="B140" s="1089">
        <v>2.7858000000000002E-3</v>
      </c>
      <c r="C140" s="1089">
        <v>5.751E-3</v>
      </c>
      <c r="D140" s="1089">
        <v>2.3845999999999999E-4</v>
      </c>
      <c r="E140" s="1089">
        <v>4.9402999999999999E-3</v>
      </c>
    </row>
    <row r="141" spans="1:5" x14ac:dyDescent="0.25">
      <c r="A141" t="s">
        <v>5427</v>
      </c>
      <c r="B141" s="1089">
        <v>3.2263999999999999E-3</v>
      </c>
      <c r="C141" s="1089">
        <v>1.1932999999999999E-2</v>
      </c>
      <c r="D141" s="1089">
        <v>1.4057999999999999E-2</v>
      </c>
      <c r="E141" s="1089">
        <v>1.4391E-4</v>
      </c>
    </row>
    <row r="142" spans="1:5" x14ac:dyDescent="0.25">
      <c r="A142" t="s">
        <v>5428</v>
      </c>
      <c r="B142" s="1089">
        <v>3.7609000000000002E-3</v>
      </c>
      <c r="C142" s="1089">
        <v>9.3424000000000007E-3</v>
      </c>
      <c r="D142" s="1089">
        <v>3.9015999999999999E-3</v>
      </c>
      <c r="E142" s="1089">
        <v>3.3861999999999998E-4</v>
      </c>
    </row>
    <row r="143" spans="1:5" x14ac:dyDescent="0.25">
      <c r="A143" t="s">
        <v>5429</v>
      </c>
      <c r="B143" s="1089">
        <v>3.9489E-3</v>
      </c>
      <c r="C143" s="1089">
        <v>4.2408000000000002E-4</v>
      </c>
      <c r="D143" s="1089">
        <v>2.8377E-5</v>
      </c>
      <c r="E143" s="1089">
        <v>4.3961999999999997E-5</v>
      </c>
    </row>
    <row r="144" spans="1:5" x14ac:dyDescent="0.25">
      <c r="A144" t="s">
        <v>5430</v>
      </c>
      <c r="B144" s="1089">
        <v>4.0821E-3</v>
      </c>
      <c r="C144" s="1089">
        <v>1.0789E-2</v>
      </c>
      <c r="D144" s="1089">
        <v>1.872E-4</v>
      </c>
      <c r="E144" s="1089">
        <v>1.4727E-3</v>
      </c>
    </row>
    <row r="145" spans="1:5" x14ac:dyDescent="0.25">
      <c r="A145" t="s">
        <v>5431</v>
      </c>
      <c r="B145" s="1089">
        <v>4.5361000000000004E-3</v>
      </c>
      <c r="C145" s="1089">
        <v>3.4462E-3</v>
      </c>
      <c r="D145" s="1089">
        <v>2.9602999999999999E-3</v>
      </c>
      <c r="E145" s="1089">
        <v>4.8881E-4</v>
      </c>
    </row>
    <row r="146" spans="1:5" x14ac:dyDescent="0.25">
      <c r="A146" t="s">
        <v>5432</v>
      </c>
      <c r="B146" s="1089">
        <v>4.5377000000000004E-3</v>
      </c>
      <c r="C146" s="1089">
        <v>3.016E-3</v>
      </c>
      <c r="D146" s="1089">
        <v>1.0178E-5</v>
      </c>
      <c r="E146" s="1089">
        <v>2.0452999999999999E-5</v>
      </c>
    </row>
    <row r="147" spans="1:5" x14ac:dyDescent="0.25">
      <c r="A147" t="s">
        <v>5433</v>
      </c>
      <c r="B147" s="1089">
        <v>5.1805999999999996E-3</v>
      </c>
      <c r="C147" s="1089">
        <v>2.5907999999999999E-3</v>
      </c>
      <c r="D147" s="1089">
        <v>8.2701000000000007E-5</v>
      </c>
      <c r="E147" s="1089">
        <v>6.9097000000000006E-5</v>
      </c>
    </row>
    <row r="148" spans="1:5" x14ac:dyDescent="0.25">
      <c r="A148" t="s">
        <v>5434</v>
      </c>
      <c r="B148" s="1089">
        <v>5.4447000000000002E-3</v>
      </c>
      <c r="C148" s="1089">
        <v>1.6521000000000001E-3</v>
      </c>
      <c r="D148" s="1089">
        <v>2.3633000000000001E-4</v>
      </c>
      <c r="E148" s="1089">
        <v>3.099E-5</v>
      </c>
    </row>
    <row r="149" spans="1:5" x14ac:dyDescent="0.25">
      <c r="A149" t="s">
        <v>5435</v>
      </c>
      <c r="B149" s="1089">
        <v>5.6039000000000002E-3</v>
      </c>
      <c r="C149" s="1089">
        <v>2.0980999999999999E-3</v>
      </c>
      <c r="D149" s="1089">
        <v>2.4673000000000002E-4</v>
      </c>
      <c r="E149" s="1089">
        <v>1.8461000000000001E-4</v>
      </c>
    </row>
    <row r="150" spans="1:5" x14ac:dyDescent="0.25">
      <c r="A150" t="s">
        <v>5436</v>
      </c>
      <c r="B150" s="1089">
        <v>5.731E-3</v>
      </c>
      <c r="C150" s="1089">
        <v>4.3277000000000003E-3</v>
      </c>
      <c r="D150" s="1089">
        <v>3.0766000000000001E-3</v>
      </c>
      <c r="E150" s="1089">
        <v>6.5245000000000003E-5</v>
      </c>
    </row>
    <row r="151" spans="1:5" x14ac:dyDescent="0.25">
      <c r="A151" t="s">
        <v>5437</v>
      </c>
      <c r="B151" s="1089">
        <v>5.7654000000000004E-3</v>
      </c>
      <c r="C151" s="1089">
        <v>4.0416000000000002E-3</v>
      </c>
      <c r="D151" s="1089">
        <v>1.0179999999999999E-4</v>
      </c>
      <c r="E151" s="1089">
        <v>7.2867000000000001E-3</v>
      </c>
    </row>
    <row r="152" spans="1:5" x14ac:dyDescent="0.25">
      <c r="A152" t="s">
        <v>5438</v>
      </c>
      <c r="B152" s="1089">
        <v>5.8212999999999997E-3</v>
      </c>
      <c r="C152" s="1089">
        <v>7.2906000000000004E-3</v>
      </c>
      <c r="D152" s="1089">
        <v>2.5942000000000001E-4</v>
      </c>
      <c r="E152" s="1089">
        <v>1.6280999999999999E-3</v>
      </c>
    </row>
    <row r="153" spans="1:5" x14ac:dyDescent="0.25">
      <c r="A153" t="s">
        <v>5439</v>
      </c>
      <c r="B153" s="1089">
        <v>5.8395000000000001E-3</v>
      </c>
      <c r="C153" s="1089">
        <v>5.9836000000000004E-3</v>
      </c>
      <c r="D153" s="1089">
        <v>2.4872000000000002E-3</v>
      </c>
      <c r="E153" s="1089">
        <v>2.7796E-4</v>
      </c>
    </row>
    <row r="154" spans="1:5" x14ac:dyDescent="0.25">
      <c r="A154" t="s">
        <v>5440</v>
      </c>
      <c r="B154" s="1089">
        <v>5.8633000000000001E-3</v>
      </c>
      <c r="C154" s="1089">
        <v>3.4432999999999998E-3</v>
      </c>
      <c r="D154" s="1089">
        <v>1.0668E-4</v>
      </c>
      <c r="E154" s="1089">
        <v>4.9095999999999999E-5</v>
      </c>
    </row>
    <row r="155" spans="1:5" x14ac:dyDescent="0.25">
      <c r="A155" t="s">
        <v>5441</v>
      </c>
      <c r="B155" s="1089">
        <v>7.2921000000000001E-3</v>
      </c>
      <c r="C155" s="1089">
        <v>7.3391000000000003E-3</v>
      </c>
      <c r="D155" s="1089">
        <v>7.4152000000000004E-5</v>
      </c>
      <c r="E155" s="1089">
        <v>2.8811E-4</v>
      </c>
    </row>
    <row r="156" spans="1:5" x14ac:dyDescent="0.25">
      <c r="A156" t="s">
        <v>5442</v>
      </c>
      <c r="B156" s="1089">
        <v>7.7101000000000001E-3</v>
      </c>
      <c r="C156" s="1089">
        <v>1.0468E-2</v>
      </c>
      <c r="D156" s="1089">
        <v>5.0343000000000002E-4</v>
      </c>
      <c r="E156" s="1089">
        <v>1.0911E-4</v>
      </c>
    </row>
    <row r="157" spans="1:5" x14ac:dyDescent="0.25">
      <c r="A157" t="s">
        <v>5443</v>
      </c>
      <c r="B157" s="1089">
        <v>8.1221000000000002E-3</v>
      </c>
      <c r="C157" s="1089">
        <v>8.9456999999999991E-3</v>
      </c>
      <c r="D157" s="1089">
        <v>6.4389999999999998E-4</v>
      </c>
      <c r="E157" s="1089">
        <v>2.5907000000000001E-5</v>
      </c>
    </row>
    <row r="158" spans="1:5" x14ac:dyDescent="0.25">
      <c r="A158" t="s">
        <v>5444</v>
      </c>
      <c r="B158" s="1089">
        <v>8.2053000000000004E-3</v>
      </c>
      <c r="C158" s="1089">
        <v>9.2613000000000001E-3</v>
      </c>
      <c r="D158" s="1089">
        <v>5.7667000000000002E-5</v>
      </c>
      <c r="E158" s="1089">
        <v>8.5523999999999996E-6</v>
      </c>
    </row>
    <row r="159" spans="1:5" x14ac:dyDescent="0.25">
      <c r="A159" t="s">
        <v>1641</v>
      </c>
      <c r="B159" s="1089">
        <v>8.6907000000000009E-3</v>
      </c>
      <c r="C159" s="1089">
        <v>6.5436000000000001E-3</v>
      </c>
      <c r="D159" s="1089">
        <v>2.2961000000000001E-3</v>
      </c>
      <c r="E159" s="1089">
        <v>1.6430000000000001E-4</v>
      </c>
    </row>
    <row r="160" spans="1:5" x14ac:dyDescent="0.25">
      <c r="A160" t="s">
        <v>5445</v>
      </c>
      <c r="B160" s="1089">
        <v>9.0533999999999996E-3</v>
      </c>
      <c r="C160" s="1089">
        <v>6.6899999999999998E-3</v>
      </c>
      <c r="D160" s="1089">
        <v>6.0282000000000001E-3</v>
      </c>
      <c r="E160" s="1089">
        <v>3.0915000000000001E-4</v>
      </c>
    </row>
    <row r="161" spans="1:5" x14ac:dyDescent="0.25">
      <c r="A161" t="s">
        <v>5446</v>
      </c>
      <c r="B161" s="1089">
        <v>9.1646000000000002E-3</v>
      </c>
      <c r="C161" s="1089">
        <v>8.3288000000000008E-3</v>
      </c>
      <c r="D161" s="1089">
        <v>1.181E-4</v>
      </c>
      <c r="E161" s="1089">
        <v>1.1435E-5</v>
      </c>
    </row>
    <row r="162" spans="1:5" x14ac:dyDescent="0.25">
      <c r="A162" t="s">
        <v>5447</v>
      </c>
      <c r="B162" s="1089">
        <v>9.1836999999999995E-3</v>
      </c>
      <c r="C162" s="1089">
        <v>4.8272999999999996E-3</v>
      </c>
      <c r="D162" s="1089">
        <v>9.0309000000000006E-5</v>
      </c>
      <c r="E162" s="1089">
        <v>7.3589000000000003E-5</v>
      </c>
    </row>
    <row r="163" spans="1:5" x14ac:dyDescent="0.25">
      <c r="A163" t="s">
        <v>5448</v>
      </c>
      <c r="B163" s="1089">
        <v>9.3180999999999993E-3</v>
      </c>
      <c r="C163" s="1089">
        <v>2.3033999999999999E-2</v>
      </c>
      <c r="D163" s="1089">
        <v>4.0701999999999998E-5</v>
      </c>
      <c r="E163" s="1089">
        <v>1.2141E-4</v>
      </c>
    </row>
    <row r="164" spans="1:5" ht="15.75" x14ac:dyDescent="0.25">
      <c r="A164" t="s">
        <v>1981</v>
      </c>
      <c r="B164" s="1089">
        <v>9.3314000000000001E-3</v>
      </c>
      <c r="C164" s="1089">
        <v>1.6115000000000001E-2</v>
      </c>
      <c r="D164" s="1088">
        <v>7.5465000000000005E-7</v>
      </c>
      <c r="E164" s="1089">
        <v>2.0173000000000002E-5</v>
      </c>
    </row>
    <row r="165" spans="1:5" x14ac:dyDescent="0.25">
      <c r="A165" t="s">
        <v>5449</v>
      </c>
      <c r="B165" s="1089">
        <v>9.4401999999999993E-3</v>
      </c>
      <c r="C165" s="1089">
        <v>1.2463999999999999E-2</v>
      </c>
      <c r="D165" s="1089">
        <v>1.4107E-4</v>
      </c>
      <c r="E165" s="1089">
        <v>2.6627999999999999E-3</v>
      </c>
    </row>
    <row r="166" spans="1:5" x14ac:dyDescent="0.25">
      <c r="A166" t="s">
        <v>5450</v>
      </c>
      <c r="B166" s="1089">
        <v>1.0758999999999999E-2</v>
      </c>
      <c r="C166" s="1089">
        <v>1.5817000000000001E-2</v>
      </c>
      <c r="D166" s="1089">
        <v>2.7339999999999998E-4</v>
      </c>
      <c r="E166" s="1089">
        <v>1.4223999999999999E-4</v>
      </c>
    </row>
    <row r="167" spans="1:5" x14ac:dyDescent="0.25">
      <c r="A167" t="s">
        <v>5451</v>
      </c>
      <c r="B167" s="1089">
        <v>1.0807000000000001E-2</v>
      </c>
      <c r="C167" s="1089">
        <v>2.3327000000000001E-2</v>
      </c>
      <c r="D167" s="1089">
        <v>1.2657E-2</v>
      </c>
      <c r="E167" s="1089">
        <v>2.1952000000000001E-4</v>
      </c>
    </row>
    <row r="168" spans="1:5" x14ac:dyDescent="0.25">
      <c r="A168" t="s">
        <v>5452</v>
      </c>
      <c r="B168" s="1089">
        <v>1.1712E-2</v>
      </c>
      <c r="C168" s="1089">
        <v>2.3404000000000001E-2</v>
      </c>
      <c r="D168" s="1089">
        <v>1.1207000000000001E-3</v>
      </c>
      <c r="E168" s="1089">
        <v>7.6608999999999998E-5</v>
      </c>
    </row>
    <row r="169" spans="1:5" x14ac:dyDescent="0.25">
      <c r="A169" t="s">
        <v>5453</v>
      </c>
      <c r="B169" s="1089">
        <v>1.2364E-2</v>
      </c>
      <c r="C169" s="1089">
        <v>1.6084000000000001E-2</v>
      </c>
      <c r="D169" s="1089">
        <v>3.5380999999999999E-5</v>
      </c>
      <c r="E169" s="1089">
        <v>1.8609E-4</v>
      </c>
    </row>
    <row r="170" spans="1:5" x14ac:dyDescent="0.25">
      <c r="A170" t="s">
        <v>5454</v>
      </c>
      <c r="B170" s="1089">
        <v>1.2703000000000001E-2</v>
      </c>
      <c r="C170" s="1089">
        <v>2.4392E-2</v>
      </c>
      <c r="D170" s="1089">
        <v>8.8780000000000005E-3</v>
      </c>
      <c r="E170" s="1089">
        <v>4.8561999999999998E-4</v>
      </c>
    </row>
    <row r="171" spans="1:5" x14ac:dyDescent="0.25">
      <c r="A171" t="s">
        <v>5455</v>
      </c>
      <c r="B171" s="1089">
        <v>1.2800000000000001E-2</v>
      </c>
      <c r="C171" s="1089">
        <v>2.6124000000000001E-2</v>
      </c>
      <c r="D171" s="1089">
        <v>1.6857E-3</v>
      </c>
      <c r="E171" s="1089">
        <v>4.8539999999999998E-4</v>
      </c>
    </row>
    <row r="172" spans="1:5" x14ac:dyDescent="0.25">
      <c r="A172" t="s">
        <v>5456</v>
      </c>
      <c r="B172" s="1089">
        <v>1.2947E-2</v>
      </c>
      <c r="C172" s="1089">
        <v>9.1734E-3</v>
      </c>
      <c r="D172" s="1089">
        <v>1.0925E-4</v>
      </c>
      <c r="E172" s="1089">
        <v>1.8139E-4</v>
      </c>
    </row>
    <row r="173" spans="1:5" x14ac:dyDescent="0.25">
      <c r="A173" t="s">
        <v>5457</v>
      </c>
      <c r="B173" s="1089">
        <v>1.3365E-2</v>
      </c>
      <c r="C173" s="1089">
        <v>1.1231E-2</v>
      </c>
      <c r="D173" s="1089">
        <v>1.7531999999999999E-3</v>
      </c>
      <c r="E173" s="1089">
        <v>3.9620999999999998E-4</v>
      </c>
    </row>
    <row r="174" spans="1:5" x14ac:dyDescent="0.25">
      <c r="A174" t="s">
        <v>5458</v>
      </c>
      <c r="B174" s="1089">
        <v>1.3443E-2</v>
      </c>
      <c r="C174" s="1089">
        <v>2.1142999999999999E-2</v>
      </c>
      <c r="D174" s="1089">
        <v>1.7017E-3</v>
      </c>
      <c r="E174" s="1089">
        <v>9.0006000000000005E-5</v>
      </c>
    </row>
    <row r="175" spans="1:5" x14ac:dyDescent="0.25">
      <c r="A175" t="s">
        <v>5459</v>
      </c>
      <c r="B175" s="1089">
        <v>1.3733E-2</v>
      </c>
      <c r="C175" s="1089">
        <v>1.4079E-2</v>
      </c>
      <c r="D175" s="1089">
        <v>6.9845000000000003E-3</v>
      </c>
      <c r="E175" s="1089">
        <v>2.6879999999999997E-4</v>
      </c>
    </row>
    <row r="176" spans="1:5" x14ac:dyDescent="0.25">
      <c r="A176" t="s">
        <v>5460</v>
      </c>
      <c r="B176" s="1089">
        <v>1.6490000000000001E-2</v>
      </c>
      <c r="C176" s="1089">
        <v>7.8720000000000005E-3</v>
      </c>
      <c r="D176" s="1089">
        <v>4.1928000000000001E-4</v>
      </c>
      <c r="E176" s="1089">
        <v>2.3076999999999999E-4</v>
      </c>
    </row>
    <row r="177" spans="1:5" x14ac:dyDescent="0.25">
      <c r="A177" t="s">
        <v>5461</v>
      </c>
      <c r="B177" s="1089">
        <v>1.7978999999999998E-2</v>
      </c>
      <c r="C177" s="1089">
        <v>1.8674E-2</v>
      </c>
      <c r="D177" s="1089">
        <v>5.1628999999999998E-3</v>
      </c>
      <c r="E177" s="1089">
        <v>4.7762E-4</v>
      </c>
    </row>
    <row r="178" spans="1:5" x14ac:dyDescent="0.25">
      <c r="A178" t="s">
        <v>5462</v>
      </c>
      <c r="B178" s="1089">
        <v>1.9177E-2</v>
      </c>
      <c r="C178" s="1089">
        <v>2.8716999999999999E-2</v>
      </c>
      <c r="D178" s="1089">
        <v>3.1437000000000001E-4</v>
      </c>
      <c r="E178" s="1089">
        <v>2.6525000000000001E-5</v>
      </c>
    </row>
    <row r="179" spans="1:5" x14ac:dyDescent="0.25">
      <c r="A179" t="s">
        <v>5463</v>
      </c>
      <c r="B179" s="1089">
        <v>1.9380999999999999E-2</v>
      </c>
      <c r="C179" s="1089">
        <v>0.11357</v>
      </c>
      <c r="D179" s="1089">
        <v>1.3696E-2</v>
      </c>
      <c r="E179" s="1089">
        <v>5.0129999999999999E-4</v>
      </c>
    </row>
    <row r="180" spans="1:5" x14ac:dyDescent="0.25">
      <c r="A180" t="s">
        <v>5464</v>
      </c>
      <c r="B180" s="1089">
        <v>2.0093E-2</v>
      </c>
      <c r="C180" s="1089">
        <v>1.7276E-2</v>
      </c>
      <c r="D180" s="1089">
        <v>3.2726000000000001E-3</v>
      </c>
      <c r="E180" s="1089">
        <v>7.6984999999999996E-5</v>
      </c>
    </row>
    <row r="181" spans="1:5" x14ac:dyDescent="0.25">
      <c r="A181" t="s">
        <v>5465</v>
      </c>
      <c r="B181" s="1089">
        <v>2.3311999999999999E-2</v>
      </c>
      <c r="C181" s="1089">
        <v>2.0795000000000001E-2</v>
      </c>
      <c r="D181" s="1089">
        <v>2.1460000000000001E-4</v>
      </c>
      <c r="E181" s="1089">
        <v>5.9804000000000003E-3</v>
      </c>
    </row>
    <row r="182" spans="1:5" x14ac:dyDescent="0.25">
      <c r="A182" t="s">
        <v>5466</v>
      </c>
      <c r="B182" s="1089">
        <v>2.648E-2</v>
      </c>
      <c r="C182" s="1089">
        <v>2.7671000000000001E-2</v>
      </c>
      <c r="D182" s="1089">
        <v>2.2809000000000002E-3</v>
      </c>
      <c r="E182" s="1089">
        <v>1.2331000000000001E-4</v>
      </c>
    </row>
    <row r="183" spans="1:5" x14ac:dyDescent="0.25">
      <c r="A183" t="s">
        <v>5467</v>
      </c>
      <c r="B183" s="1089">
        <v>2.6886E-2</v>
      </c>
      <c r="C183" s="1089">
        <v>2.8937999999999998E-2</v>
      </c>
      <c r="D183" s="1089">
        <v>1.0413E-2</v>
      </c>
      <c r="E183" s="1089">
        <v>5.0898999999999996E-4</v>
      </c>
    </row>
    <row r="184" spans="1:5" x14ac:dyDescent="0.25">
      <c r="A184" t="s">
        <v>5468</v>
      </c>
      <c r="B184" s="1089">
        <v>3.0131000000000002E-2</v>
      </c>
      <c r="C184" s="1089">
        <v>1.1539000000000001E-2</v>
      </c>
      <c r="D184" s="1089">
        <v>3.4875999999999999E-4</v>
      </c>
      <c r="E184" s="1089">
        <v>5.8684999999999998E-5</v>
      </c>
    </row>
    <row r="185" spans="1:5" x14ac:dyDescent="0.25">
      <c r="A185" t="s">
        <v>5469</v>
      </c>
      <c r="B185" s="1089">
        <v>3.3112999999999997E-2</v>
      </c>
      <c r="C185" s="1089">
        <v>2.5097000000000001E-2</v>
      </c>
      <c r="D185" s="1089">
        <v>5.1230999999999998E-4</v>
      </c>
      <c r="E185" s="1089">
        <v>1.3369E-4</v>
      </c>
    </row>
    <row r="186" spans="1:5" ht="15.75" x14ac:dyDescent="0.25">
      <c r="A186" t="s">
        <v>1982</v>
      </c>
      <c r="B186" s="1089">
        <v>3.3596000000000001E-2</v>
      </c>
      <c r="C186" s="1089">
        <v>1.3618E-2</v>
      </c>
      <c r="D186" s="1088">
        <v>1.8157E-6</v>
      </c>
      <c r="E186" s="1089">
        <v>5.6233E-6</v>
      </c>
    </row>
    <row r="187" spans="1:5" x14ac:dyDescent="0.25">
      <c r="A187" t="s">
        <v>5470</v>
      </c>
      <c r="B187" s="1089">
        <v>3.6844000000000002E-2</v>
      </c>
      <c r="C187" s="1089">
        <v>1.9424E-2</v>
      </c>
      <c r="D187" s="1089">
        <v>7.5135999999999996E-3</v>
      </c>
      <c r="E187" s="1089">
        <v>1.2063E-4</v>
      </c>
    </row>
    <row r="188" spans="1:5" x14ac:dyDescent="0.25">
      <c r="A188" t="s">
        <v>5471</v>
      </c>
      <c r="B188" s="1089">
        <v>3.8121000000000002E-2</v>
      </c>
      <c r="C188" s="1089">
        <v>0.13086999999999999</v>
      </c>
      <c r="D188" s="1089">
        <v>1.9738000000000001E-4</v>
      </c>
      <c r="E188" s="1089">
        <v>9.5040999999999995E-4</v>
      </c>
    </row>
    <row r="189" spans="1:5" x14ac:dyDescent="0.25">
      <c r="A189" t="s">
        <v>5472</v>
      </c>
      <c r="B189" s="1089">
        <v>4.6795000000000003E-2</v>
      </c>
      <c r="C189" s="1089">
        <v>4.2495999999999999E-2</v>
      </c>
      <c r="D189" s="1089">
        <v>2.6226E-4</v>
      </c>
      <c r="E189" s="1089">
        <v>1.7153999999999999E-2</v>
      </c>
    </row>
    <row r="190" spans="1:5" x14ac:dyDescent="0.25">
      <c r="A190" t="s">
        <v>5473</v>
      </c>
      <c r="B190" s="1089">
        <v>4.9318000000000001E-2</v>
      </c>
      <c r="C190" s="1089">
        <v>5.2539000000000002E-2</v>
      </c>
      <c r="D190" s="1089">
        <v>2.2851999999999999E-4</v>
      </c>
      <c r="E190" s="1089">
        <v>5.0888000000000001E-3</v>
      </c>
    </row>
    <row r="191" spans="1:5" x14ac:dyDescent="0.25">
      <c r="A191" t="s">
        <v>5474</v>
      </c>
      <c r="B191" s="1089">
        <v>4.9318000000000001E-2</v>
      </c>
      <c r="C191" s="1089">
        <v>5.2539000000000002E-2</v>
      </c>
      <c r="D191" s="1089">
        <v>2.2851999999999999E-4</v>
      </c>
      <c r="E191" s="1089">
        <v>5.0888000000000001E-3</v>
      </c>
    </row>
    <row r="192" spans="1:5" x14ac:dyDescent="0.25">
      <c r="A192" t="s">
        <v>5475</v>
      </c>
      <c r="B192" s="1089">
        <v>5.1166000000000003E-2</v>
      </c>
      <c r="C192" s="1089">
        <v>4.1168000000000003E-2</v>
      </c>
      <c r="D192" s="1089">
        <v>1.2543999999999999E-4</v>
      </c>
      <c r="E192" s="1089">
        <v>1.5325E-3</v>
      </c>
    </row>
    <row r="193" spans="1:5" x14ac:dyDescent="0.25">
      <c r="A193" t="s">
        <v>5476</v>
      </c>
      <c r="B193" s="1089">
        <v>5.1558E-2</v>
      </c>
      <c r="C193" s="1089">
        <v>4.2086999999999999E-2</v>
      </c>
      <c r="D193" s="1089">
        <v>1.0765E-3</v>
      </c>
      <c r="E193" s="1089">
        <v>2.2164E-4</v>
      </c>
    </row>
    <row r="194" spans="1:5" x14ac:dyDescent="0.25">
      <c r="A194" t="s">
        <v>5477</v>
      </c>
      <c r="B194" s="1089">
        <v>5.3489000000000002E-2</v>
      </c>
      <c r="C194" s="1089">
        <v>4.7273999999999997E-2</v>
      </c>
      <c r="D194" s="1089">
        <v>1.4651000000000001E-4</v>
      </c>
      <c r="E194" s="1089">
        <v>6.7152999999999999E-5</v>
      </c>
    </row>
    <row r="195" spans="1:5" x14ac:dyDescent="0.25">
      <c r="A195" t="s">
        <v>5478</v>
      </c>
      <c r="B195" s="1089">
        <v>5.4465E-2</v>
      </c>
      <c r="C195" s="1089">
        <v>5.6132000000000001E-2</v>
      </c>
      <c r="D195" s="1089">
        <v>3.3792000000000002E-4</v>
      </c>
      <c r="E195" s="1089">
        <v>2.5295999999999999E-4</v>
      </c>
    </row>
    <row r="196" spans="1:5" x14ac:dyDescent="0.25">
      <c r="A196" t="s">
        <v>5479</v>
      </c>
      <c r="B196" s="1089">
        <v>5.5683999999999997E-2</v>
      </c>
      <c r="C196" s="1089">
        <v>5.4760000000000003E-2</v>
      </c>
      <c r="D196" s="1089">
        <v>9.9938000000000002E-4</v>
      </c>
      <c r="E196" s="1089">
        <v>3.1637000000000001E-4</v>
      </c>
    </row>
    <row r="197" spans="1:5" x14ac:dyDescent="0.25">
      <c r="A197" t="s">
        <v>5480</v>
      </c>
      <c r="B197" s="1089">
        <v>5.9517E-2</v>
      </c>
      <c r="C197" s="1089">
        <v>5.9395999999999997E-2</v>
      </c>
      <c r="D197" s="1089">
        <v>2.2180999999999999E-4</v>
      </c>
      <c r="E197" s="1089">
        <v>4.7270999999999997E-3</v>
      </c>
    </row>
    <row r="198" spans="1:5" x14ac:dyDescent="0.25">
      <c r="A198" t="s">
        <v>5481</v>
      </c>
      <c r="B198" s="1089">
        <v>6.5139000000000002E-2</v>
      </c>
      <c r="C198" s="1089">
        <v>4.4919000000000001E-2</v>
      </c>
      <c r="D198" s="1089">
        <v>2.5464999999999998E-4</v>
      </c>
      <c r="E198" s="1089">
        <v>6.3248000000000002E-5</v>
      </c>
    </row>
    <row r="199" spans="1:5" x14ac:dyDescent="0.25">
      <c r="A199" t="s">
        <v>5482</v>
      </c>
      <c r="B199" s="1089">
        <v>6.7922999999999997E-2</v>
      </c>
      <c r="C199" s="1089">
        <v>6.6060999999999995E-2</v>
      </c>
      <c r="D199" s="1089">
        <v>7.7070000000000003E-4</v>
      </c>
      <c r="E199" s="1089">
        <v>1.9283000000000001E-4</v>
      </c>
    </row>
    <row r="200" spans="1:5" x14ac:dyDescent="0.25">
      <c r="A200" t="s">
        <v>5483</v>
      </c>
      <c r="B200" s="1089">
        <v>7.6496999999999996E-2</v>
      </c>
      <c r="C200" s="1089">
        <v>6.2169000000000002E-2</v>
      </c>
      <c r="D200" s="1089">
        <v>7.9757999999999999E-3</v>
      </c>
      <c r="E200" s="1089">
        <v>4.5489E-4</v>
      </c>
    </row>
    <row r="201" spans="1:5" x14ac:dyDescent="0.25">
      <c r="A201" t="s">
        <v>5484</v>
      </c>
      <c r="B201" s="1089">
        <v>8.0377000000000004E-2</v>
      </c>
      <c r="C201" s="1089">
        <v>3.5779999999999999E-2</v>
      </c>
      <c r="D201" s="1089">
        <v>1.6624999999999999E-3</v>
      </c>
      <c r="E201" s="1089">
        <v>1.6798E-4</v>
      </c>
    </row>
    <row r="202" spans="1:5" x14ac:dyDescent="0.25">
      <c r="A202" t="s">
        <v>5485</v>
      </c>
      <c r="B202" s="1089">
        <v>8.3904000000000006E-2</v>
      </c>
      <c r="C202" s="1089">
        <v>0.14469000000000001</v>
      </c>
      <c r="D202" s="1089">
        <v>6.1816999999999994E-5</v>
      </c>
      <c r="E202" s="1089">
        <v>1.4859000000000001E-4</v>
      </c>
    </row>
    <row r="203" spans="1:5" x14ac:dyDescent="0.25">
      <c r="A203" t="s">
        <v>5486</v>
      </c>
      <c r="B203" s="1089">
        <v>8.6555999999999994E-2</v>
      </c>
      <c r="C203" s="1089">
        <v>3.5168999999999999E-2</v>
      </c>
      <c r="D203" s="1089">
        <v>6.0083999999999995E-4</v>
      </c>
      <c r="E203" s="1089">
        <v>2.5589999999999999E-4</v>
      </c>
    </row>
    <row r="204" spans="1:5" x14ac:dyDescent="0.25">
      <c r="A204" t="s">
        <v>5487</v>
      </c>
      <c r="B204" s="1089">
        <v>9.3720999999999999E-2</v>
      </c>
      <c r="C204" s="1089">
        <v>8.3982000000000001E-2</v>
      </c>
      <c r="D204" s="1089">
        <v>2.6206999999999999E-4</v>
      </c>
      <c r="E204" s="1089">
        <v>1.0143999999999999E-3</v>
      </c>
    </row>
    <row r="205" spans="1:5" x14ac:dyDescent="0.25">
      <c r="A205" t="s">
        <v>5488</v>
      </c>
      <c r="B205" s="1089">
        <v>9.8877999999999994E-2</v>
      </c>
      <c r="C205" s="1089">
        <v>0.30719999999999997</v>
      </c>
      <c r="D205" s="1089">
        <v>7.1501999999999998E-3</v>
      </c>
      <c r="E205" s="1089">
        <v>1.2401E-4</v>
      </c>
    </row>
    <row r="206" spans="1:5" x14ac:dyDescent="0.25">
      <c r="A206" t="s">
        <v>5489</v>
      </c>
      <c r="B206" s="1089">
        <v>0.10174</v>
      </c>
      <c r="C206" s="1089">
        <v>0.11187</v>
      </c>
      <c r="D206" s="1089">
        <v>1.4744000000000001E-3</v>
      </c>
      <c r="E206" s="1089">
        <v>1.2601999999999999E-4</v>
      </c>
    </row>
    <row r="207" spans="1:5" x14ac:dyDescent="0.25">
      <c r="A207" t="s">
        <v>5490</v>
      </c>
      <c r="B207" s="1089">
        <v>0.10662000000000001</v>
      </c>
      <c r="C207" s="1089">
        <v>9.5676999999999998E-2</v>
      </c>
      <c r="D207" s="1089">
        <v>4.4552000000000003E-5</v>
      </c>
      <c r="E207" s="1089">
        <v>5.2499000000000003E-4</v>
      </c>
    </row>
    <row r="208" spans="1:5" x14ac:dyDescent="0.25">
      <c r="A208" t="s">
        <v>5491</v>
      </c>
      <c r="B208" s="1089">
        <v>0.12349</v>
      </c>
      <c r="C208" s="1089">
        <v>9.6324999999999994E-2</v>
      </c>
      <c r="D208" s="1089">
        <v>3.7178999999999998E-5</v>
      </c>
      <c r="E208" s="1089">
        <v>3.6888999999999997E-4</v>
      </c>
    </row>
    <row r="209" spans="1:5" x14ac:dyDescent="0.25">
      <c r="A209" t="s">
        <v>5492</v>
      </c>
      <c r="B209" s="1089">
        <v>0.13514999999999999</v>
      </c>
      <c r="C209" s="1089">
        <v>6.4946000000000004E-2</v>
      </c>
      <c r="D209" s="1089">
        <v>1.6184999999999999E-3</v>
      </c>
      <c r="E209" s="1089">
        <v>3.9367999999999998E-4</v>
      </c>
    </row>
    <row r="210" spans="1:5" x14ac:dyDescent="0.25">
      <c r="A210" t="s">
        <v>5493</v>
      </c>
      <c r="B210" s="1089">
        <v>0.13582</v>
      </c>
      <c r="C210" s="1089">
        <v>0.15242</v>
      </c>
      <c r="D210" s="1089">
        <v>5.0717999999999998E-4</v>
      </c>
      <c r="E210" s="1089">
        <v>1.7155999999999999E-4</v>
      </c>
    </row>
    <row r="211" spans="1:5" x14ac:dyDescent="0.25">
      <c r="A211" t="s">
        <v>5494</v>
      </c>
      <c r="B211" s="1089">
        <v>0.13649</v>
      </c>
      <c r="C211" s="1089">
        <v>0.11139</v>
      </c>
      <c r="D211" s="1089">
        <v>1.2769999999999999E-4</v>
      </c>
      <c r="E211" s="1089">
        <v>7.6783000000000005E-4</v>
      </c>
    </row>
    <row r="212" spans="1:5" x14ac:dyDescent="0.25">
      <c r="A212" t="s">
        <v>5495</v>
      </c>
      <c r="B212" s="1089">
        <v>0.22906000000000001</v>
      </c>
      <c r="C212" s="1089">
        <v>0.17144000000000001</v>
      </c>
      <c r="D212" s="1089">
        <v>1.7496E-3</v>
      </c>
      <c r="E212" s="1089">
        <v>4.9474000000000002E-4</v>
      </c>
    </row>
    <row r="213" spans="1:5" x14ac:dyDescent="0.25">
      <c r="A213" t="s">
        <v>5496</v>
      </c>
      <c r="B213" s="1089">
        <v>0.23794999999999999</v>
      </c>
      <c r="C213" s="1089">
        <v>0.22</v>
      </c>
      <c r="D213" s="1089">
        <v>1.7364E-4</v>
      </c>
      <c r="E213" s="1089">
        <v>1.6408E-3</v>
      </c>
    </row>
    <row r="214" spans="1:5" x14ac:dyDescent="0.25">
      <c r="A214" t="s">
        <v>5497</v>
      </c>
      <c r="B214" s="1089">
        <v>0.26878999999999997</v>
      </c>
      <c r="C214" s="1089">
        <v>0.14612</v>
      </c>
      <c r="D214" s="1089">
        <v>1.5160999999999999E-4</v>
      </c>
      <c r="E214" s="1089">
        <v>9.0420000000000005E-5</v>
      </c>
    </row>
    <row r="215" spans="1:5" x14ac:dyDescent="0.25">
      <c r="A215" t="s">
        <v>5498</v>
      </c>
      <c r="B215" s="1089">
        <v>0.26924999999999999</v>
      </c>
      <c r="C215" s="1089">
        <v>0.30668000000000001</v>
      </c>
      <c r="D215" s="1089">
        <v>9.9011999999999993E-4</v>
      </c>
      <c r="E215" s="1089">
        <v>3.9366E-4</v>
      </c>
    </row>
    <row r="216" spans="1:5" x14ac:dyDescent="0.25">
      <c r="A216" t="s">
        <v>5499</v>
      </c>
      <c r="B216" s="1089">
        <v>0.27028999999999997</v>
      </c>
      <c r="C216" s="1089">
        <v>0.29087000000000002</v>
      </c>
      <c r="D216" s="1089">
        <v>3.4999999999999997E-5</v>
      </c>
      <c r="E216" s="1089">
        <v>6.8302E-4</v>
      </c>
    </row>
    <row r="217" spans="1:5" x14ac:dyDescent="0.25">
      <c r="A217" t="s">
        <v>5500</v>
      </c>
      <c r="B217" s="1089">
        <v>0.27965000000000001</v>
      </c>
      <c r="C217" s="1089">
        <v>0.20347000000000001</v>
      </c>
      <c r="D217" s="1089">
        <v>5.0124000000000003E-5</v>
      </c>
      <c r="E217" s="1089">
        <v>3.7053999999999999E-4</v>
      </c>
    </row>
    <row r="218" spans="1:5" x14ac:dyDescent="0.25">
      <c r="A218" t="s">
        <v>5501</v>
      </c>
      <c r="B218" s="1089">
        <v>0.28171000000000002</v>
      </c>
      <c r="C218" s="1089">
        <v>0.18718000000000001</v>
      </c>
      <c r="D218" s="1089">
        <v>1.5177999999999999E-4</v>
      </c>
      <c r="E218" s="1089">
        <v>3.6708999999999997E-5</v>
      </c>
    </row>
    <row r="219" spans="1:5" x14ac:dyDescent="0.25">
      <c r="A219" t="s">
        <v>5502</v>
      </c>
      <c r="B219" s="1089">
        <v>0.28996</v>
      </c>
      <c r="C219" s="1089">
        <v>0.13546</v>
      </c>
      <c r="D219" s="1089">
        <v>4.2680000000000001E-3</v>
      </c>
      <c r="E219" s="1089">
        <v>2.2220000000000001E-4</v>
      </c>
    </row>
    <row r="220" spans="1:5" x14ac:dyDescent="0.25">
      <c r="A220" t="s">
        <v>5503</v>
      </c>
      <c r="B220" s="1089">
        <v>0.31533</v>
      </c>
      <c r="C220" s="1089">
        <v>0.27317999999999998</v>
      </c>
      <c r="D220" s="1089">
        <v>1.1005999999999999E-5</v>
      </c>
      <c r="E220" s="1089">
        <v>4.5098000000000001E-5</v>
      </c>
    </row>
    <row r="221" spans="1:5" x14ac:dyDescent="0.25">
      <c r="A221" t="s">
        <v>5504</v>
      </c>
      <c r="B221" s="1089">
        <v>0.35576000000000002</v>
      </c>
      <c r="C221" s="1089">
        <v>0.23974000000000001</v>
      </c>
      <c r="D221" s="1089">
        <v>1.6404000000000001E-4</v>
      </c>
      <c r="E221" s="1089">
        <v>1.4158000000000001E-5</v>
      </c>
    </row>
    <row r="222" spans="1:5" x14ac:dyDescent="0.25">
      <c r="A222" t="s">
        <v>5505</v>
      </c>
      <c r="B222" s="1089">
        <v>0.35576000000000002</v>
      </c>
      <c r="C222" s="1089">
        <v>0.23974000000000001</v>
      </c>
      <c r="D222" s="1089">
        <v>1.6404000000000001E-4</v>
      </c>
      <c r="E222" s="1089">
        <v>1.4158000000000001E-5</v>
      </c>
    </row>
    <row r="223" spans="1:5" x14ac:dyDescent="0.25">
      <c r="A223" t="s">
        <v>5506</v>
      </c>
      <c r="B223" s="1089">
        <v>0.35743000000000003</v>
      </c>
      <c r="C223" s="1089">
        <v>0.32550000000000001</v>
      </c>
      <c r="D223" s="1089">
        <v>7.5031999999999996E-5</v>
      </c>
      <c r="E223" s="1089">
        <v>2.7481000000000001E-4</v>
      </c>
    </row>
    <row r="224" spans="1:5" x14ac:dyDescent="0.25">
      <c r="A224" t="s">
        <v>5507</v>
      </c>
      <c r="B224" s="1089">
        <v>0.44644</v>
      </c>
      <c r="C224" s="1089">
        <v>0.35216999999999998</v>
      </c>
      <c r="D224" s="1089">
        <v>9.6960000000000004E-4</v>
      </c>
      <c r="E224" s="1089">
        <v>4.5836999999999999E-4</v>
      </c>
    </row>
    <row r="225" spans="1:5" x14ac:dyDescent="0.25">
      <c r="A225" t="s">
        <v>5508</v>
      </c>
      <c r="B225" s="1089">
        <v>0.49490000000000001</v>
      </c>
      <c r="C225" s="1089">
        <v>0.45334000000000002</v>
      </c>
      <c r="D225" s="1089">
        <v>1.3958E-3</v>
      </c>
      <c r="E225" s="1089">
        <v>2.1105000000000001E-4</v>
      </c>
    </row>
    <row r="226" spans="1:5" x14ac:dyDescent="0.25">
      <c r="A226" t="s">
        <v>5509</v>
      </c>
      <c r="B226" s="1089">
        <v>0.50087999999999999</v>
      </c>
      <c r="C226" s="1089">
        <v>0.52902000000000005</v>
      </c>
      <c r="D226" s="1089">
        <v>4.3767000000000003E-5</v>
      </c>
      <c r="E226" s="1089">
        <v>1.8644E-3</v>
      </c>
    </row>
    <row r="227" spans="1:5" x14ac:dyDescent="0.25">
      <c r="A227" t="s">
        <v>5510</v>
      </c>
      <c r="B227" s="1089">
        <v>0.52812000000000003</v>
      </c>
      <c r="C227" s="1089">
        <v>0.44491999999999998</v>
      </c>
      <c r="D227" s="1089">
        <v>3.6273000000000002E-4</v>
      </c>
      <c r="E227" s="1089">
        <v>1.3019E-4</v>
      </c>
    </row>
    <row r="228" spans="1:5" x14ac:dyDescent="0.25">
      <c r="A228" t="s">
        <v>5511</v>
      </c>
      <c r="B228" s="1089">
        <v>0.54956000000000005</v>
      </c>
      <c r="C228" s="1089">
        <v>0.47504999999999997</v>
      </c>
      <c r="D228" s="1089">
        <v>4.9200000000000003E-4</v>
      </c>
      <c r="E228" s="1089">
        <v>4.1764999999999999E-4</v>
      </c>
    </row>
    <row r="229" spans="1:5" x14ac:dyDescent="0.25">
      <c r="A229" t="s">
        <v>5512</v>
      </c>
      <c r="B229" s="1089">
        <v>0.55308999999999997</v>
      </c>
      <c r="C229" s="1089">
        <v>0.56477999999999995</v>
      </c>
      <c r="D229" s="1089">
        <v>3.6843000000000002E-3</v>
      </c>
      <c r="E229" s="1089">
        <v>3.8567000000000001E-4</v>
      </c>
    </row>
    <row r="230" spans="1:5" x14ac:dyDescent="0.25">
      <c r="A230" t="s">
        <v>5513</v>
      </c>
      <c r="B230" s="1089">
        <v>0.60206999999999999</v>
      </c>
      <c r="C230" s="1089">
        <v>0.51246999999999998</v>
      </c>
      <c r="D230" s="1089">
        <v>2.3933E-4</v>
      </c>
      <c r="E230" s="1089">
        <v>1.0777000000000001E-4</v>
      </c>
    </row>
    <row r="231" spans="1:5" x14ac:dyDescent="0.25">
      <c r="A231" t="s">
        <v>5514</v>
      </c>
      <c r="B231" s="1089">
        <v>0.71986000000000006</v>
      </c>
      <c r="C231" s="1089">
        <v>0.61990999999999996</v>
      </c>
      <c r="D231" s="1089">
        <v>4.8665999999999996E-3</v>
      </c>
      <c r="E231" s="1089">
        <v>5.1776000000000003E-4</v>
      </c>
    </row>
    <row r="232" spans="1:5" x14ac:dyDescent="0.25">
      <c r="A232" t="s">
        <v>5515</v>
      </c>
      <c r="B232" s="1089">
        <v>0.77522999999999997</v>
      </c>
      <c r="C232" s="1089">
        <v>0.88621000000000005</v>
      </c>
      <c r="D232" s="1089">
        <v>4.5932000000000004E-3</v>
      </c>
      <c r="E232" s="1089">
        <v>2.2997999999999999E-4</v>
      </c>
    </row>
    <row r="233" spans="1:5" x14ac:dyDescent="0.25">
      <c r="A233" t="s">
        <v>5516</v>
      </c>
      <c r="B233" s="1089">
        <v>0.80662999999999996</v>
      </c>
      <c r="C233" s="1089">
        <v>0.80545999999999995</v>
      </c>
      <c r="D233" s="1089">
        <v>3.4254000000000001E-4</v>
      </c>
      <c r="E233" s="1089">
        <v>4.6247999999999998E-4</v>
      </c>
    </row>
    <row r="234" spans="1:5" x14ac:dyDescent="0.25">
      <c r="A234" t="s">
        <v>5517</v>
      </c>
      <c r="B234" s="1089">
        <v>0.81013999999999997</v>
      </c>
      <c r="C234" s="1089">
        <v>0.69372999999999996</v>
      </c>
      <c r="D234" s="1089">
        <v>1.0662E-3</v>
      </c>
      <c r="E234" s="1089">
        <v>4.3218999999999999E-4</v>
      </c>
    </row>
    <row r="235" spans="1:5" x14ac:dyDescent="0.25">
      <c r="A235" t="s">
        <v>5518</v>
      </c>
      <c r="B235" s="1089">
        <v>0.83547000000000005</v>
      </c>
      <c r="C235" s="1089">
        <v>0.82847000000000004</v>
      </c>
      <c r="D235" s="1089">
        <v>1.9430000000000001E-3</v>
      </c>
      <c r="E235" s="1089">
        <v>5.2249999999999996E-4</v>
      </c>
    </row>
    <row r="236" spans="1:5" x14ac:dyDescent="0.25">
      <c r="A236" s="1091" t="s">
        <v>5519</v>
      </c>
      <c r="B236" s="1092">
        <v>0.99095</v>
      </c>
      <c r="C236" s="1092">
        <v>0.99424000000000001</v>
      </c>
      <c r="D236" s="1092">
        <v>2.7021E-4</v>
      </c>
      <c r="E236" s="1092">
        <v>9.1474E-3</v>
      </c>
    </row>
    <row r="237" spans="1:5" x14ac:dyDescent="0.25">
      <c r="A237" s="1083" t="s">
        <v>1987</v>
      </c>
    </row>
    <row r="238" spans="1:5" x14ac:dyDescent="0.25">
      <c r="A238" s="1083" t="s">
        <v>5332</v>
      </c>
    </row>
    <row r="239" spans="1:5" x14ac:dyDescent="0.25">
      <c r="A239" s="1083" t="s">
        <v>1988</v>
      </c>
    </row>
    <row r="240" spans="1:5" x14ac:dyDescent="0.25">
      <c r="A240" s="1083" t="s">
        <v>1989</v>
      </c>
    </row>
    <row r="241" spans="1:1" x14ac:dyDescent="0.25">
      <c r="A241" s="1083" t="s">
        <v>1990</v>
      </c>
    </row>
  </sheetData>
  <mergeCells count="2">
    <mergeCell ref="B2:C2"/>
    <mergeCell ref="D2:E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64"/>
  <sheetViews>
    <sheetView topLeftCell="A52" workbookViewId="0">
      <selection activeCell="A56" sqref="A56"/>
    </sheetView>
  </sheetViews>
  <sheetFormatPr defaultColWidth="8.7109375" defaultRowHeight="15" x14ac:dyDescent="0.25"/>
  <cols>
    <col min="1" max="2" width="11.28515625" style="1" bestFit="1" customWidth="1"/>
    <col min="3" max="3" width="4.28515625" style="1" bestFit="1" customWidth="1"/>
    <col min="4" max="4" width="10" style="1" bestFit="1" customWidth="1"/>
    <col min="5" max="5" width="10.28515625" style="1" bestFit="1" customWidth="1"/>
    <col min="6" max="6" width="10.28515625" style="1" customWidth="1"/>
    <col min="7" max="7" width="11" style="1" customWidth="1"/>
    <col min="8" max="8" width="7.28515625" style="1" customWidth="1"/>
    <col min="9" max="9" width="6.28515625" style="4" bestFit="1" customWidth="1"/>
    <col min="10" max="10" width="7.28515625" style="1" bestFit="1" customWidth="1"/>
    <col min="11" max="11" width="7.140625" style="1" bestFit="1" customWidth="1"/>
    <col min="12" max="12" width="6.28515625" style="1" bestFit="1" customWidth="1"/>
    <col min="13" max="13" width="8.140625" style="1" bestFit="1" customWidth="1"/>
    <col min="14" max="14" width="8.7109375" style="2" customWidth="1"/>
    <col min="15" max="15" width="7.140625" style="1" bestFit="1" customWidth="1"/>
    <col min="16" max="16" width="6.28515625" style="1" bestFit="1" customWidth="1"/>
    <col min="17" max="17" width="8.140625" style="1" bestFit="1" customWidth="1"/>
    <col min="18" max="18" width="6.28515625" style="1" bestFit="1" customWidth="1"/>
    <col min="19" max="19" width="7.140625" style="1" bestFit="1" customWidth="1"/>
    <col min="20" max="20" width="6.28515625" style="1" bestFit="1" customWidth="1"/>
    <col min="21" max="21" width="8.140625" style="1" bestFit="1" customWidth="1"/>
    <col min="22" max="22" width="7.28515625" style="1" bestFit="1" customWidth="1"/>
    <col min="23" max="23" width="7.140625" style="1" bestFit="1" customWidth="1"/>
    <col min="24" max="24" width="6.28515625" style="1" bestFit="1" customWidth="1"/>
    <col min="25" max="25" width="8.140625" style="1" bestFit="1" customWidth="1"/>
    <col min="26" max="26" width="7.28515625" style="1" bestFit="1" customWidth="1"/>
    <col min="27" max="27" width="7.140625" style="1" bestFit="1" customWidth="1"/>
    <col min="28" max="28" width="6.28515625" style="1" bestFit="1" customWidth="1"/>
    <col min="29" max="29" width="8.140625" style="1" bestFit="1" customWidth="1"/>
    <col min="30" max="30" width="7.28515625" style="1" bestFit="1" customWidth="1"/>
    <col min="31" max="31" width="7.140625" style="1" bestFit="1" customWidth="1"/>
    <col min="32" max="32" width="6.28515625" style="1" bestFit="1" customWidth="1"/>
    <col min="33" max="33" width="8.140625" style="1" bestFit="1" customWidth="1"/>
    <col min="34" max="34" width="6.28515625" style="1" bestFit="1" customWidth="1"/>
    <col min="35" max="35" width="7.140625" style="1" bestFit="1" customWidth="1"/>
    <col min="36" max="36" width="6.28515625" style="1" bestFit="1" customWidth="1"/>
    <col min="37" max="37" width="8.140625" style="1" bestFit="1" customWidth="1"/>
    <col min="38" max="38" width="7.28515625" style="1" bestFit="1" customWidth="1"/>
    <col min="39" max="39" width="7.140625" style="1" bestFit="1" customWidth="1"/>
    <col min="40" max="40" width="6.28515625" style="1" bestFit="1" customWidth="1"/>
    <col min="41" max="41" width="8.140625" style="1" bestFit="1" customWidth="1"/>
    <col min="42" max="42" width="6.28515625" style="1" bestFit="1" customWidth="1"/>
    <col min="43" max="43" width="7.140625" style="1" bestFit="1" customWidth="1"/>
    <col min="44" max="44" width="6.28515625" style="1" bestFit="1" customWidth="1"/>
    <col min="45" max="45" width="8.140625" style="1" bestFit="1" customWidth="1"/>
    <col min="46" max="46" width="7.28515625" style="1" bestFit="1" customWidth="1"/>
    <col min="47" max="47" width="7.140625" style="1" bestFit="1" customWidth="1"/>
    <col min="48" max="48" width="6.28515625" style="1" bestFit="1" customWidth="1"/>
    <col min="49" max="49" width="8.140625" style="1" bestFit="1" customWidth="1"/>
    <col min="50" max="50" width="7.28515625" style="1" bestFit="1" customWidth="1"/>
    <col min="51" max="51" width="7.140625" style="1" bestFit="1" customWidth="1"/>
    <col min="52" max="52" width="6.28515625" style="1" bestFit="1" customWidth="1"/>
    <col min="53" max="53" width="8.140625" style="1" bestFit="1" customWidth="1"/>
    <col min="54" max="54" width="7.28515625" style="1" bestFit="1" customWidth="1"/>
    <col min="55" max="55" width="7.140625" style="1" bestFit="1" customWidth="1"/>
    <col min="56" max="56" width="6.28515625" style="1" bestFit="1" customWidth="1"/>
    <col min="57" max="57" width="8.140625" style="1" bestFit="1" customWidth="1"/>
    <col min="58" max="58" width="7.28515625" style="1" bestFit="1" customWidth="1"/>
    <col min="59" max="59" width="7.140625" style="1" bestFit="1" customWidth="1"/>
    <col min="60" max="60" width="6.28515625" style="1" bestFit="1" customWidth="1"/>
    <col min="61" max="61" width="8.140625" style="1" bestFit="1" customWidth="1"/>
    <col min="62" max="62" width="7.28515625" style="1" bestFit="1" customWidth="1"/>
    <col min="63" max="63" width="7.140625" style="1" bestFit="1" customWidth="1"/>
    <col min="64" max="64" width="6.28515625" style="1" bestFit="1" customWidth="1"/>
    <col min="65" max="65" width="8.140625" style="1" bestFit="1" customWidth="1"/>
    <col min="66" max="66" width="7.28515625" style="1" bestFit="1" customWidth="1"/>
    <col min="67" max="67" width="7.140625" style="1" bestFit="1" customWidth="1"/>
    <col min="68" max="68" width="6.28515625" style="1" bestFit="1" customWidth="1"/>
    <col min="69" max="69" width="8.140625" style="1" bestFit="1" customWidth="1"/>
    <col min="70" max="16384" width="8.7109375" style="1"/>
  </cols>
  <sheetData>
    <row r="1" spans="1:69" ht="39.6" customHeight="1" x14ac:dyDescent="0.25">
      <c r="A1" s="221" t="s">
        <v>5330</v>
      </c>
    </row>
    <row r="2" spans="1:69" s="932" customFormat="1" ht="25.5" customHeight="1" x14ac:dyDescent="0.25">
      <c r="A2" s="1315" t="s">
        <v>2005</v>
      </c>
      <c r="B2" s="1315" t="s">
        <v>3</v>
      </c>
      <c r="C2" s="1315" t="s">
        <v>891</v>
      </c>
      <c r="D2" s="1420" t="s">
        <v>892</v>
      </c>
      <c r="E2" s="1420" t="s">
        <v>893</v>
      </c>
      <c r="F2" s="1420" t="s">
        <v>6</v>
      </c>
      <c r="G2" s="1423" t="s">
        <v>5281</v>
      </c>
      <c r="H2" s="1423" t="s">
        <v>5</v>
      </c>
      <c r="I2" s="1421" t="s">
        <v>241</v>
      </c>
      <c r="J2" s="1312" t="s">
        <v>1991</v>
      </c>
      <c r="K2" s="1313"/>
      <c r="L2" s="1313"/>
      <c r="M2" s="1314"/>
      <c r="N2" s="1312" t="s">
        <v>1058</v>
      </c>
      <c r="O2" s="1313"/>
      <c r="P2" s="1313"/>
      <c r="Q2" s="1314"/>
      <c r="R2" s="1313" t="s">
        <v>1992</v>
      </c>
      <c r="S2" s="1313"/>
      <c r="T2" s="1313"/>
      <c r="U2" s="1313"/>
      <c r="V2" s="1312" t="s">
        <v>1993</v>
      </c>
      <c r="W2" s="1313"/>
      <c r="X2" s="1313"/>
      <c r="Y2" s="1314"/>
      <c r="Z2" s="1313" t="s">
        <v>1994</v>
      </c>
      <c r="AA2" s="1313"/>
      <c r="AB2" s="1313"/>
      <c r="AC2" s="1313"/>
      <c r="AD2" s="1312" t="s">
        <v>1995</v>
      </c>
      <c r="AE2" s="1313"/>
      <c r="AF2" s="1313"/>
      <c r="AG2" s="1314"/>
      <c r="AH2" s="1313" t="s">
        <v>1996</v>
      </c>
      <c r="AI2" s="1313"/>
      <c r="AJ2" s="1313"/>
      <c r="AK2" s="1313"/>
      <c r="AL2" s="1312" t="s">
        <v>1997</v>
      </c>
      <c r="AM2" s="1313"/>
      <c r="AN2" s="1313"/>
      <c r="AO2" s="1314"/>
      <c r="AP2" s="1313" t="s">
        <v>1998</v>
      </c>
      <c r="AQ2" s="1313"/>
      <c r="AR2" s="1313"/>
      <c r="AS2" s="1313"/>
      <c r="AT2" s="1312" t="s">
        <v>1999</v>
      </c>
      <c r="AU2" s="1313"/>
      <c r="AV2" s="1313"/>
      <c r="AW2" s="1314"/>
      <c r="AX2" s="1313" t="s">
        <v>2000</v>
      </c>
      <c r="AY2" s="1313"/>
      <c r="AZ2" s="1313"/>
      <c r="BA2" s="1313"/>
      <c r="BB2" s="1312" t="s">
        <v>2001</v>
      </c>
      <c r="BC2" s="1313"/>
      <c r="BD2" s="1313"/>
      <c r="BE2" s="1314"/>
      <c r="BF2" s="1313" t="s">
        <v>2002</v>
      </c>
      <c r="BG2" s="1313"/>
      <c r="BH2" s="1313"/>
      <c r="BI2" s="1313"/>
      <c r="BJ2" s="1312" t="s">
        <v>2003</v>
      </c>
      <c r="BK2" s="1313"/>
      <c r="BL2" s="1313"/>
      <c r="BM2" s="1314"/>
      <c r="BN2" s="1313" t="s">
        <v>2004</v>
      </c>
      <c r="BO2" s="1313"/>
      <c r="BP2" s="1313"/>
      <c r="BQ2" s="1314"/>
    </row>
    <row r="3" spans="1:69" s="932" customFormat="1" ht="55.35" customHeight="1" thickBot="1" x14ac:dyDescent="0.3">
      <c r="A3" s="1419"/>
      <c r="B3" s="1419"/>
      <c r="C3" s="1419"/>
      <c r="D3" s="1257"/>
      <c r="E3" s="1257"/>
      <c r="F3" s="1257"/>
      <c r="G3" s="1424"/>
      <c r="H3" s="1424"/>
      <c r="I3" s="1422"/>
      <c r="J3" s="914" t="s">
        <v>7</v>
      </c>
      <c r="K3" s="919" t="s">
        <v>5280</v>
      </c>
      <c r="L3" s="893" t="s">
        <v>10</v>
      </c>
      <c r="M3" s="931" t="s">
        <v>5282</v>
      </c>
      <c r="N3" s="795" t="s">
        <v>7</v>
      </c>
      <c r="O3" s="919" t="s">
        <v>5280</v>
      </c>
      <c r="P3" s="893" t="s">
        <v>10</v>
      </c>
      <c r="Q3" s="931" t="s">
        <v>5282</v>
      </c>
      <c r="R3" s="893" t="s">
        <v>7</v>
      </c>
      <c r="S3" s="919" t="s">
        <v>5280</v>
      </c>
      <c r="T3" s="893" t="s">
        <v>10</v>
      </c>
      <c r="U3" s="931" t="s">
        <v>5282</v>
      </c>
      <c r="V3" s="914" t="s">
        <v>7</v>
      </c>
      <c r="W3" s="919" t="s">
        <v>5280</v>
      </c>
      <c r="X3" s="893" t="s">
        <v>10</v>
      </c>
      <c r="Y3" s="931" t="s">
        <v>5282</v>
      </c>
      <c r="Z3" s="893" t="s">
        <v>7</v>
      </c>
      <c r="AA3" s="919" t="s">
        <v>5280</v>
      </c>
      <c r="AB3" s="893" t="s">
        <v>10</v>
      </c>
      <c r="AC3" s="931" t="s">
        <v>5282</v>
      </c>
      <c r="AD3" s="914" t="s">
        <v>7</v>
      </c>
      <c r="AE3" s="919" t="s">
        <v>5280</v>
      </c>
      <c r="AF3" s="893" t="s">
        <v>10</v>
      </c>
      <c r="AG3" s="931" t="s">
        <v>5282</v>
      </c>
      <c r="AH3" s="893" t="s">
        <v>7</v>
      </c>
      <c r="AI3" s="919" t="s">
        <v>5280</v>
      </c>
      <c r="AJ3" s="893" t="s">
        <v>10</v>
      </c>
      <c r="AK3" s="931" t="s">
        <v>5282</v>
      </c>
      <c r="AL3" s="914" t="s">
        <v>7</v>
      </c>
      <c r="AM3" s="919" t="s">
        <v>5280</v>
      </c>
      <c r="AN3" s="893" t="s">
        <v>10</v>
      </c>
      <c r="AO3" s="931" t="s">
        <v>5282</v>
      </c>
      <c r="AP3" s="893" t="s">
        <v>7</v>
      </c>
      <c r="AQ3" s="919" t="s">
        <v>5280</v>
      </c>
      <c r="AR3" s="893" t="s">
        <v>10</v>
      </c>
      <c r="AS3" s="931" t="s">
        <v>5282</v>
      </c>
      <c r="AT3" s="914" t="s">
        <v>7</v>
      </c>
      <c r="AU3" s="919" t="s">
        <v>5280</v>
      </c>
      <c r="AV3" s="893" t="s">
        <v>10</v>
      </c>
      <c r="AW3" s="931" t="s">
        <v>5282</v>
      </c>
      <c r="AX3" s="893" t="s">
        <v>7</v>
      </c>
      <c r="AY3" s="919" t="s">
        <v>5280</v>
      </c>
      <c r="AZ3" s="893" t="s">
        <v>10</v>
      </c>
      <c r="BA3" s="931" t="s">
        <v>5282</v>
      </c>
      <c r="BB3" s="914" t="s">
        <v>7</v>
      </c>
      <c r="BC3" s="919" t="s">
        <v>5280</v>
      </c>
      <c r="BD3" s="893" t="s">
        <v>10</v>
      </c>
      <c r="BE3" s="931" t="s">
        <v>5282</v>
      </c>
      <c r="BF3" s="893" t="s">
        <v>7</v>
      </c>
      <c r="BG3" s="919" t="s">
        <v>5280</v>
      </c>
      <c r="BH3" s="893" t="s">
        <v>10</v>
      </c>
      <c r="BI3" s="931" t="s">
        <v>5282</v>
      </c>
      <c r="BJ3" s="914" t="s">
        <v>7</v>
      </c>
      <c r="BK3" s="919" t="s">
        <v>5280</v>
      </c>
      <c r="BL3" s="893" t="s">
        <v>10</v>
      </c>
      <c r="BM3" s="931" t="s">
        <v>5282</v>
      </c>
      <c r="BN3" s="893" t="s">
        <v>7</v>
      </c>
      <c r="BO3" s="919" t="s">
        <v>5280</v>
      </c>
      <c r="BP3" s="893" t="s">
        <v>10</v>
      </c>
      <c r="BQ3" s="931" t="s">
        <v>5282</v>
      </c>
    </row>
    <row r="4" spans="1:69" ht="15.75" thickTop="1" x14ac:dyDescent="0.25">
      <c r="A4" s="1" t="s">
        <v>2006</v>
      </c>
      <c r="B4" s="1" t="s">
        <v>15</v>
      </c>
      <c r="C4" s="1">
        <v>1</v>
      </c>
      <c r="D4" s="1">
        <v>119427467</v>
      </c>
      <c r="E4" s="37" t="s">
        <v>18</v>
      </c>
      <c r="F4" s="654" t="s">
        <v>19</v>
      </c>
      <c r="G4" s="1" t="s">
        <v>16</v>
      </c>
      <c r="H4" s="1" t="s">
        <v>17</v>
      </c>
      <c r="I4" s="4">
        <v>0.95699999999999996</v>
      </c>
      <c r="J4" s="50">
        <v>427531</v>
      </c>
      <c r="K4" s="51">
        <v>5.7483319999999997E-2</v>
      </c>
      <c r="L4" s="51">
        <v>5.5158400000000002E-3</v>
      </c>
      <c r="M4" s="13">
        <v>2.0000000000000002E-5</v>
      </c>
      <c r="N4" s="61">
        <v>495984</v>
      </c>
      <c r="O4" s="51">
        <v>-1.753538E-2</v>
      </c>
      <c r="P4" s="51">
        <v>5.0883400000000002E-3</v>
      </c>
      <c r="Q4" s="13">
        <v>5.6855000000000002E-4</v>
      </c>
      <c r="R4" s="54">
        <v>69865.820000000007</v>
      </c>
      <c r="S4" s="51">
        <v>-2.0500000000000001E-2</v>
      </c>
      <c r="T4" s="51">
        <v>3.4200000000000001E-2</v>
      </c>
      <c r="U4" s="16">
        <v>0.50949999999999995</v>
      </c>
      <c r="V4" s="50">
        <v>122036</v>
      </c>
      <c r="W4" s="51">
        <v>-1.1762700000000001E-3</v>
      </c>
      <c r="X4" s="51">
        <v>3.1536099999999998E-3</v>
      </c>
      <c r="Y4" s="13">
        <v>0.52279399999999998</v>
      </c>
      <c r="Z4" s="54">
        <v>97798</v>
      </c>
      <c r="AA4" s="51">
        <v>4.09188E-3</v>
      </c>
      <c r="AB4" s="51">
        <v>5.4030299999999996E-3</v>
      </c>
      <c r="AC4" s="16">
        <v>0.39869500000000002</v>
      </c>
      <c r="AD4" s="50">
        <v>122038</v>
      </c>
      <c r="AE4" s="51">
        <v>-7.5980999999999998E-4</v>
      </c>
      <c r="AF4" s="51">
        <v>4.9679099999999999E-3</v>
      </c>
      <c r="AG4" s="13">
        <v>0.97465199999999996</v>
      </c>
      <c r="AH4" s="54">
        <v>50379</v>
      </c>
      <c r="AI4" s="51">
        <v>-4.9370000000000003E-5</v>
      </c>
      <c r="AJ4" s="51">
        <v>2.6415000000000001E-2</v>
      </c>
      <c r="AK4" s="16">
        <v>0.96426400000000001</v>
      </c>
      <c r="AL4" s="50" t="s">
        <v>312</v>
      </c>
      <c r="AM4" s="51" t="s">
        <v>312</v>
      </c>
      <c r="AN4" s="51" t="s">
        <v>312</v>
      </c>
      <c r="AO4" s="13" t="s">
        <v>312</v>
      </c>
      <c r="AP4" s="54" t="s">
        <v>312</v>
      </c>
      <c r="AQ4" s="51" t="s">
        <v>312</v>
      </c>
      <c r="AR4" s="51" t="s">
        <v>312</v>
      </c>
      <c r="AS4" s="16" t="s">
        <v>312</v>
      </c>
      <c r="AT4" s="50">
        <v>292243</v>
      </c>
      <c r="AU4" s="51">
        <v>8.8964999999999999E-3</v>
      </c>
      <c r="AV4" s="51">
        <v>6.522E-3</v>
      </c>
      <c r="AW4" s="13">
        <v>0.172545</v>
      </c>
      <c r="AX4" s="54">
        <v>273122</v>
      </c>
      <c r="AY4" s="51">
        <v>-2.1021000000000001E-2</v>
      </c>
      <c r="AZ4" s="51">
        <v>6.7660000000000003E-3</v>
      </c>
      <c r="BA4" s="16">
        <v>1.8910000000000001E-3</v>
      </c>
      <c r="BB4" s="50">
        <v>281476</v>
      </c>
      <c r="BC4" s="51">
        <v>-1.60438E-2</v>
      </c>
      <c r="BD4" s="51">
        <v>6.6410000000000002E-3</v>
      </c>
      <c r="BE4" s="13">
        <v>1.5696000000000002E-2</v>
      </c>
      <c r="BF4" s="54">
        <v>295416</v>
      </c>
      <c r="BG4" s="51">
        <v>-1.9699999999999999E-2</v>
      </c>
      <c r="BH4" s="51">
        <v>6.4900000000000001E-3</v>
      </c>
      <c r="BI4" s="16">
        <v>2.3971000000000001E-3</v>
      </c>
      <c r="BJ4" s="50">
        <v>176541</v>
      </c>
      <c r="BK4" s="51">
        <v>1.7299999999999999E-2</v>
      </c>
      <c r="BL4" s="51">
        <v>8.9800000000000005E-2</v>
      </c>
      <c r="BM4" s="13">
        <v>0.84730000000000005</v>
      </c>
      <c r="BN4" s="54">
        <v>176506</v>
      </c>
      <c r="BO4" s="51">
        <v>-2.3E-2</v>
      </c>
      <c r="BP4" s="51">
        <v>0.14990000000000001</v>
      </c>
      <c r="BQ4" s="13">
        <v>0.87780000000000002</v>
      </c>
    </row>
    <row r="5" spans="1:69" x14ac:dyDescent="0.25">
      <c r="A5" s="1" t="s">
        <v>2007</v>
      </c>
      <c r="B5" s="1" t="s">
        <v>22</v>
      </c>
      <c r="C5" s="1">
        <v>1</v>
      </c>
      <c r="D5" s="1">
        <v>119469188</v>
      </c>
      <c r="E5" s="37" t="s">
        <v>18</v>
      </c>
      <c r="F5" s="654" t="s">
        <v>25</v>
      </c>
      <c r="G5" s="1" t="s">
        <v>23</v>
      </c>
      <c r="H5" s="1" t="s">
        <v>24</v>
      </c>
      <c r="I5" s="4">
        <v>0.17399999999999999</v>
      </c>
      <c r="J5" s="50">
        <v>442218</v>
      </c>
      <c r="K5" s="51">
        <v>5.8745200000000003E-3</v>
      </c>
      <c r="L5" s="51">
        <v>2.9887999999999998E-3</v>
      </c>
      <c r="M5" s="13">
        <v>4.9355450000000002E-2</v>
      </c>
      <c r="N5" s="61">
        <v>510510</v>
      </c>
      <c r="O5" s="51">
        <v>-6.0285499999999997E-3</v>
      </c>
      <c r="P5" s="51">
        <v>2.7311800000000002E-3</v>
      </c>
      <c r="Q5" s="13">
        <v>2.729299E-2</v>
      </c>
      <c r="R5" s="54">
        <v>69866.53</v>
      </c>
      <c r="S5" s="51">
        <v>-3.56E-2</v>
      </c>
      <c r="T5" s="51">
        <v>1.5800000000000002E-2</v>
      </c>
      <c r="U5" s="16">
        <v>4.1930000000000002E-2</v>
      </c>
      <c r="V5" s="50">
        <v>144040</v>
      </c>
      <c r="W5" s="51">
        <v>6.3281999999999998E-4</v>
      </c>
      <c r="X5" s="51">
        <v>1.6325999999999999E-3</v>
      </c>
      <c r="Y5" s="13">
        <v>0.75530200000000003</v>
      </c>
      <c r="Z5" s="54">
        <v>104129</v>
      </c>
      <c r="AA5" s="51">
        <v>3.8329900000000001E-3</v>
      </c>
      <c r="AB5" s="51">
        <v>2.6703400000000002E-3</v>
      </c>
      <c r="AC5" s="16">
        <v>0.21575</v>
      </c>
      <c r="AD5" s="50">
        <v>127479</v>
      </c>
      <c r="AE5" s="51">
        <v>-1.6581499999999999E-3</v>
      </c>
      <c r="AF5" s="51">
        <v>2.4712499999999999E-3</v>
      </c>
      <c r="AG5" s="13">
        <v>0.49363800000000002</v>
      </c>
      <c r="AH5" s="54">
        <v>57868</v>
      </c>
      <c r="AI5" s="51">
        <v>1.48413E-2</v>
      </c>
      <c r="AJ5" s="51">
        <v>1.08407E-2</v>
      </c>
      <c r="AK5" s="16">
        <v>0.188361</v>
      </c>
      <c r="AL5" s="50">
        <v>132977</v>
      </c>
      <c r="AM5" s="51">
        <v>-1.0200000000000001E-2</v>
      </c>
      <c r="AN5" s="51">
        <v>7.3000000000000001E-3</v>
      </c>
      <c r="AO5" s="13">
        <v>0.1623</v>
      </c>
      <c r="AP5" s="54">
        <v>69352.800000000003</v>
      </c>
      <c r="AQ5" s="51">
        <v>2.18E-2</v>
      </c>
      <c r="AR5" s="51">
        <v>2.5999999999999999E-2</v>
      </c>
      <c r="AS5" s="16">
        <v>0.40210000000000001</v>
      </c>
      <c r="AT5" s="50">
        <v>315135</v>
      </c>
      <c r="AU5" s="51">
        <v>4.1957000000000001E-3</v>
      </c>
      <c r="AV5" s="51">
        <v>3.434E-3</v>
      </c>
      <c r="AW5" s="13">
        <v>0.221721</v>
      </c>
      <c r="AX5" s="54">
        <v>294565</v>
      </c>
      <c r="AY5" s="51">
        <v>-3.2499999999999999E-4</v>
      </c>
      <c r="AZ5" s="51">
        <v>3.5630000000000002E-3</v>
      </c>
      <c r="BA5" s="16">
        <v>0.92730000000000001</v>
      </c>
      <c r="BB5" s="50">
        <v>304422</v>
      </c>
      <c r="BC5" s="51">
        <v>-2.5670000000000001E-4</v>
      </c>
      <c r="BD5" s="51">
        <v>3.5070000000000001E-3</v>
      </c>
      <c r="BE5" s="13">
        <v>0.94164700000000001</v>
      </c>
      <c r="BF5" s="54">
        <v>318385</v>
      </c>
      <c r="BG5" s="51">
        <v>-9.9080000000000001E-4</v>
      </c>
      <c r="BH5" s="51">
        <v>3.4150000000000001E-3</v>
      </c>
      <c r="BI5" s="16">
        <v>0.77174920000000002</v>
      </c>
      <c r="BJ5" s="50">
        <v>187853</v>
      </c>
      <c r="BK5" s="51">
        <v>-1.7399999999999999E-2</v>
      </c>
      <c r="BL5" s="51">
        <v>4.4400000000000002E-2</v>
      </c>
      <c r="BM5" s="13">
        <v>0.69499999999999995</v>
      </c>
      <c r="BN5" s="54">
        <v>187823</v>
      </c>
      <c r="BO5" s="51">
        <v>3.5200000000000002E-2</v>
      </c>
      <c r="BP5" s="51">
        <v>7.4399999999999994E-2</v>
      </c>
      <c r="BQ5" s="13">
        <v>0.63600000000000001</v>
      </c>
    </row>
    <row r="6" spans="1:69" x14ac:dyDescent="0.25">
      <c r="A6" s="1" t="s">
        <v>2008</v>
      </c>
      <c r="B6" s="1" t="s">
        <v>27</v>
      </c>
      <c r="C6" s="1">
        <v>1</v>
      </c>
      <c r="D6" s="1">
        <v>154987704</v>
      </c>
      <c r="E6" s="37" t="s">
        <v>28</v>
      </c>
      <c r="F6" s="654" t="s">
        <v>29</v>
      </c>
      <c r="G6" s="1" t="s">
        <v>17</v>
      </c>
      <c r="H6" s="1" t="s">
        <v>23</v>
      </c>
      <c r="I6" s="4">
        <v>0.97619999999999996</v>
      </c>
      <c r="J6" s="50">
        <v>458253</v>
      </c>
      <c r="K6" s="51">
        <v>-5.3464020000000001E-2</v>
      </c>
      <c r="L6" s="51">
        <v>6.8345300000000001E-3</v>
      </c>
      <c r="M6" s="13">
        <v>2.0000000000000002E-5</v>
      </c>
      <c r="N6" s="61">
        <v>526508</v>
      </c>
      <c r="O6" s="51">
        <v>-4.6349069999999999E-2</v>
      </c>
      <c r="P6" s="51">
        <v>6.4780000000000003E-3</v>
      </c>
      <c r="Q6" s="13">
        <v>2.0000000000000002E-5</v>
      </c>
      <c r="R6" s="54">
        <v>69866.53</v>
      </c>
      <c r="S6" s="51">
        <v>4.1500000000000002E-2</v>
      </c>
      <c r="T6" s="51">
        <v>3.32E-2</v>
      </c>
      <c r="U6" s="16">
        <v>0.3508</v>
      </c>
      <c r="V6" s="50">
        <v>144039</v>
      </c>
      <c r="W6" s="51">
        <v>2.9479000000000002E-4</v>
      </c>
      <c r="X6" s="51">
        <v>3.8584600000000002E-3</v>
      </c>
      <c r="Y6" s="13">
        <v>0.79044300000000001</v>
      </c>
      <c r="Z6" s="54">
        <v>104112</v>
      </c>
      <c r="AA6" s="51">
        <v>5.9557000000000004E-3</v>
      </c>
      <c r="AB6" s="51">
        <v>5.8170899999999996E-3</v>
      </c>
      <c r="AC6" s="16">
        <v>0.32176399999999999</v>
      </c>
      <c r="AD6" s="50">
        <v>129628</v>
      </c>
      <c r="AE6" s="51">
        <v>-2.8655500000000001E-3</v>
      </c>
      <c r="AF6" s="51">
        <v>5.4085699999999997E-3</v>
      </c>
      <c r="AG6" s="13">
        <v>0.70854200000000001</v>
      </c>
      <c r="AH6" s="54">
        <v>57866</v>
      </c>
      <c r="AI6" s="51">
        <v>2.6118299999999999E-3</v>
      </c>
      <c r="AJ6" s="51">
        <v>2.26546E-2</v>
      </c>
      <c r="AK6" s="16">
        <v>0.82735800000000004</v>
      </c>
      <c r="AL6" s="104">
        <v>76657</v>
      </c>
      <c r="AM6" s="51">
        <v>2.53E-2</v>
      </c>
      <c r="AN6" s="51">
        <v>2.4400000000000002E-2</v>
      </c>
      <c r="AO6" s="13">
        <v>0.30059999999999998</v>
      </c>
      <c r="AP6" s="103">
        <v>39026</v>
      </c>
      <c r="AQ6" s="51">
        <v>9.4000000000000004E-3</v>
      </c>
      <c r="AR6" s="51">
        <v>9.2200000000000004E-2</v>
      </c>
      <c r="AS6" s="16">
        <v>0.91859999999999997</v>
      </c>
      <c r="AT6" s="50">
        <v>310659</v>
      </c>
      <c r="AU6" s="51">
        <v>-4.2253000000000004E-3</v>
      </c>
      <c r="AV6" s="51">
        <v>8.123E-3</v>
      </c>
      <c r="AW6" s="13">
        <v>0.60295920000000003</v>
      </c>
      <c r="AX6" s="54">
        <v>290093</v>
      </c>
      <c r="AY6" s="51">
        <v>2.5486000000000002E-2</v>
      </c>
      <c r="AZ6" s="51">
        <v>8.4709999999999994E-3</v>
      </c>
      <c r="BA6" s="16">
        <v>2.6247000000000002E-3</v>
      </c>
      <c r="BB6" s="50">
        <v>299810</v>
      </c>
      <c r="BC6" s="51">
        <v>-6.0302999999999997E-3</v>
      </c>
      <c r="BD6" s="51">
        <v>8.3470000000000003E-3</v>
      </c>
      <c r="BE6" s="13">
        <v>0.47000700000000001</v>
      </c>
      <c r="BF6" s="54">
        <v>313762</v>
      </c>
      <c r="BG6" s="51">
        <v>2.0094999999999998E-2</v>
      </c>
      <c r="BH6" s="51">
        <v>8.0940000000000005E-3</v>
      </c>
      <c r="BI6" s="16">
        <v>1.3041499999999999E-2</v>
      </c>
      <c r="BJ6" s="50">
        <v>187839</v>
      </c>
      <c r="BK6" s="51">
        <v>-5.7999999999999996E-3</v>
      </c>
      <c r="BL6" s="51">
        <v>9.9599999999999994E-2</v>
      </c>
      <c r="BM6" s="13">
        <v>0.95320000000000005</v>
      </c>
      <c r="BN6" s="54">
        <v>187809</v>
      </c>
      <c r="BO6" s="51">
        <v>-0.1235</v>
      </c>
      <c r="BP6" s="51">
        <v>0.1671</v>
      </c>
      <c r="BQ6" s="13">
        <v>0.45979999999999999</v>
      </c>
    </row>
    <row r="7" spans="1:69" x14ac:dyDescent="0.25">
      <c r="A7" s="1" t="s">
        <v>2009</v>
      </c>
      <c r="B7" s="1" t="s">
        <v>211</v>
      </c>
      <c r="C7" s="1">
        <v>1</v>
      </c>
      <c r="D7" s="1">
        <v>173802608</v>
      </c>
      <c r="E7" s="37" t="s">
        <v>212</v>
      </c>
      <c r="F7" s="888" t="s">
        <v>213</v>
      </c>
      <c r="G7" s="1" t="s">
        <v>24</v>
      </c>
      <c r="H7" s="1" t="s">
        <v>16</v>
      </c>
      <c r="I7" s="4">
        <v>1.2999999999999999E-3</v>
      </c>
      <c r="J7" s="50">
        <v>373796</v>
      </c>
      <c r="K7" s="51">
        <v>-4.8113299999999999E-3</v>
      </c>
      <c r="L7" s="51">
        <v>1.4431319999999999E-2</v>
      </c>
      <c r="M7" s="13">
        <v>0.73883593000000003</v>
      </c>
      <c r="N7" s="61">
        <v>435347</v>
      </c>
      <c r="O7" s="51">
        <v>2.1757990000000001E-2</v>
      </c>
      <c r="P7" s="51">
        <v>1.4412990000000001E-2</v>
      </c>
      <c r="Q7" s="13">
        <v>0.13114311000000001</v>
      </c>
      <c r="R7" s="54">
        <v>5549.12</v>
      </c>
      <c r="S7" s="51">
        <v>0.41689999999999999</v>
      </c>
      <c r="T7" s="51">
        <v>0.75260000000000005</v>
      </c>
      <c r="U7" s="16">
        <v>0.32650000000000001</v>
      </c>
      <c r="V7" s="50">
        <v>102659</v>
      </c>
      <c r="W7" s="51">
        <v>-1.2457599999999999E-2</v>
      </c>
      <c r="X7" s="51">
        <v>1.05378E-2</v>
      </c>
      <c r="Y7" s="13">
        <v>0.24390200000000001</v>
      </c>
      <c r="Z7" s="54">
        <v>63976</v>
      </c>
      <c r="AA7" s="51">
        <v>3.9125300000000002E-2</v>
      </c>
      <c r="AB7" s="51">
        <v>1.4654199999999999E-2</v>
      </c>
      <c r="AC7" s="16">
        <v>3.4279900000000001E-3</v>
      </c>
      <c r="AD7" s="50">
        <v>84323</v>
      </c>
      <c r="AE7" s="51">
        <v>-3.3170000000000001E-3</v>
      </c>
      <c r="AF7" s="51">
        <v>1.3083600000000001E-2</v>
      </c>
      <c r="AG7" s="13">
        <v>0.75714899999999996</v>
      </c>
      <c r="AH7" s="54">
        <v>35263</v>
      </c>
      <c r="AI7" s="51">
        <v>-9.9646800000000001E-3</v>
      </c>
      <c r="AJ7" s="51">
        <v>0.117135</v>
      </c>
      <c r="AK7" s="16">
        <v>0.92736399999999997</v>
      </c>
      <c r="AL7" s="104">
        <v>76657</v>
      </c>
      <c r="AM7" s="51">
        <v>-8.4400000000000003E-2</v>
      </c>
      <c r="AN7" s="51">
        <v>0.17100000000000001</v>
      </c>
      <c r="AO7" s="13">
        <v>0.62170000000000003</v>
      </c>
      <c r="AP7" s="103">
        <v>39026</v>
      </c>
      <c r="AQ7" s="51">
        <v>-0.16289999999999999</v>
      </c>
      <c r="AR7" s="51">
        <v>0.75900000000000001</v>
      </c>
      <c r="AS7" s="16">
        <v>0.83009999999999995</v>
      </c>
      <c r="AT7" s="50">
        <v>272648</v>
      </c>
      <c r="AU7" s="51">
        <v>1.6445600000000001E-2</v>
      </c>
      <c r="AV7" s="51">
        <v>1.9636000000000001E-2</v>
      </c>
      <c r="AW7" s="13">
        <v>0.40229999999999999</v>
      </c>
      <c r="AX7" s="54">
        <v>255325</v>
      </c>
      <c r="AY7" s="51">
        <v>2.9239999999999999E-2</v>
      </c>
      <c r="AZ7" s="51">
        <v>1.9695000000000001E-2</v>
      </c>
      <c r="BA7" s="16">
        <v>0.13760600000000001</v>
      </c>
      <c r="BB7" s="50">
        <v>262886</v>
      </c>
      <c r="BC7" s="51">
        <v>3.5699E-3</v>
      </c>
      <c r="BD7" s="51">
        <v>1.9567000000000001E-2</v>
      </c>
      <c r="BE7" s="13">
        <v>0.85523199999999999</v>
      </c>
      <c r="BF7" s="54">
        <v>275771</v>
      </c>
      <c r="BG7" s="51">
        <v>3.2759999999999997E-2</v>
      </c>
      <c r="BH7" s="51">
        <v>1.9570000000000001E-2</v>
      </c>
      <c r="BI7" s="16">
        <v>9.4159999999999994E-2</v>
      </c>
      <c r="BJ7" s="50">
        <v>56385</v>
      </c>
      <c r="BK7" s="51">
        <v>2.9581</v>
      </c>
      <c r="BL7" s="51">
        <v>2.5045999999999999</v>
      </c>
      <c r="BM7" s="13">
        <v>0.23799999999999999</v>
      </c>
      <c r="BN7" s="54">
        <v>56396</v>
      </c>
      <c r="BO7" s="51">
        <v>6.3423999999999996</v>
      </c>
      <c r="BP7" s="51">
        <v>4.2367999999999997</v>
      </c>
      <c r="BQ7" s="13">
        <v>0.13400000000000001</v>
      </c>
    </row>
    <row r="8" spans="1:69" x14ac:dyDescent="0.25">
      <c r="A8" s="1" t="s">
        <v>2010</v>
      </c>
      <c r="B8" s="1" t="s">
        <v>32</v>
      </c>
      <c r="C8" s="1">
        <v>2</v>
      </c>
      <c r="D8" s="1">
        <v>158412701</v>
      </c>
      <c r="E8" s="37" t="s">
        <v>33</v>
      </c>
      <c r="F8" s="654" t="s">
        <v>34</v>
      </c>
      <c r="G8" s="1" t="s">
        <v>23</v>
      </c>
      <c r="H8" s="1" t="s">
        <v>24</v>
      </c>
      <c r="I8" s="4">
        <v>0.98899999999999999</v>
      </c>
      <c r="J8" s="50">
        <v>437065</v>
      </c>
      <c r="K8" s="51">
        <v>-2.4401700000000002E-3</v>
      </c>
      <c r="L8" s="51">
        <v>1.130813E-2</v>
      </c>
      <c r="M8" s="13">
        <v>0.82915240999999995</v>
      </c>
      <c r="N8" s="61">
        <v>505512</v>
      </c>
      <c r="O8" s="51">
        <v>-3.0263040000000001E-2</v>
      </c>
      <c r="P8" s="51">
        <v>1.038905E-2</v>
      </c>
      <c r="Q8" s="13">
        <v>3.5800300000000001E-3</v>
      </c>
      <c r="R8" s="54">
        <v>69866.53</v>
      </c>
      <c r="S8" s="51">
        <v>0.20760000000000001</v>
      </c>
      <c r="T8" s="51">
        <v>7.1400000000000005E-2</v>
      </c>
      <c r="U8" s="16">
        <v>2.124E-3</v>
      </c>
      <c r="V8" s="50">
        <v>138598</v>
      </c>
      <c r="W8" s="51">
        <v>1.01376E-2</v>
      </c>
      <c r="X8" s="51">
        <v>6.3269399999999996E-3</v>
      </c>
      <c r="Y8" s="13">
        <v>0.12592500000000001</v>
      </c>
      <c r="Z8" s="54">
        <v>104110</v>
      </c>
      <c r="AA8" s="51">
        <v>6.4854800000000001E-3</v>
      </c>
      <c r="AB8" s="51">
        <v>1.15861E-2</v>
      </c>
      <c r="AC8" s="16">
        <v>0.429672</v>
      </c>
      <c r="AD8" s="50">
        <v>129630</v>
      </c>
      <c r="AE8" s="51">
        <v>-6.3002800000000001E-3</v>
      </c>
      <c r="AF8" s="51">
        <v>1.03549E-2</v>
      </c>
      <c r="AG8" s="13">
        <v>0.49613000000000002</v>
      </c>
      <c r="AH8" s="54">
        <v>57873</v>
      </c>
      <c r="AI8" s="51">
        <v>-4.6607700000000002E-2</v>
      </c>
      <c r="AJ8" s="51">
        <v>5.0413899999999998E-2</v>
      </c>
      <c r="AK8" s="16">
        <v>0.37453999999999998</v>
      </c>
      <c r="AL8" s="104">
        <v>76657</v>
      </c>
      <c r="AM8" s="51">
        <v>-3.5299999999999998E-2</v>
      </c>
      <c r="AN8" s="51">
        <v>3.8100000000000002E-2</v>
      </c>
      <c r="AO8" s="13">
        <v>0.35420000000000001</v>
      </c>
      <c r="AP8" s="103">
        <v>39026</v>
      </c>
      <c r="AQ8" s="51">
        <v>0.20100000000000001</v>
      </c>
      <c r="AR8" s="51">
        <v>0.1381</v>
      </c>
      <c r="AS8" s="16">
        <v>0.14560000000000001</v>
      </c>
      <c r="AT8" s="50">
        <v>289906</v>
      </c>
      <c r="AU8" s="51">
        <v>-3.1199999999999999E-2</v>
      </c>
      <c r="AV8" s="51">
        <v>1.4296E-2</v>
      </c>
      <c r="AW8" s="13">
        <v>2.9061E-2</v>
      </c>
      <c r="AX8" s="54">
        <v>270793</v>
      </c>
      <c r="AY8" s="51">
        <v>4.2339999999999999E-3</v>
      </c>
      <c r="AZ8" s="51">
        <v>1.4883E-2</v>
      </c>
      <c r="BA8" s="16">
        <v>0.77603100000000003</v>
      </c>
      <c r="BB8" s="50">
        <v>279052</v>
      </c>
      <c r="BC8" s="51">
        <v>-4.1949999999999999E-3</v>
      </c>
      <c r="BD8" s="51">
        <v>1.4633E-2</v>
      </c>
      <c r="BE8" s="13">
        <v>0.77438189999999996</v>
      </c>
      <c r="BF8" s="54">
        <v>292994</v>
      </c>
      <c r="BG8" s="51">
        <v>-1.4149999999999999E-2</v>
      </c>
      <c r="BH8" s="51">
        <v>1.4218E-2</v>
      </c>
      <c r="BI8" s="16">
        <v>0.31964979999999998</v>
      </c>
      <c r="BJ8" s="50">
        <v>166012</v>
      </c>
      <c r="BK8" s="51">
        <v>7.3400000000000007E-2</v>
      </c>
      <c r="BL8" s="51">
        <v>0.19400000000000001</v>
      </c>
      <c r="BM8" s="13">
        <v>0.70540000000000003</v>
      </c>
      <c r="BN8" s="54">
        <v>165972</v>
      </c>
      <c r="BO8" s="51">
        <v>-2.7099999999999999E-2</v>
      </c>
      <c r="BP8" s="51">
        <v>0.32100000000000001</v>
      </c>
      <c r="BQ8" s="13">
        <v>0.9325</v>
      </c>
    </row>
    <row r="9" spans="1:69" x14ac:dyDescent="0.25">
      <c r="A9" s="1" t="s">
        <v>2011</v>
      </c>
      <c r="B9" s="1" t="s">
        <v>37</v>
      </c>
      <c r="C9" s="1">
        <v>2</v>
      </c>
      <c r="D9" s="1">
        <v>165551201</v>
      </c>
      <c r="E9" s="37" t="s">
        <v>38</v>
      </c>
      <c r="F9" s="654" t="s">
        <v>39</v>
      </c>
      <c r="G9" s="1" t="s">
        <v>23</v>
      </c>
      <c r="H9" s="1" t="s">
        <v>17</v>
      </c>
      <c r="I9" s="4">
        <v>0.87909999999999999</v>
      </c>
      <c r="J9" s="50">
        <v>372287</v>
      </c>
      <c r="K9" s="51">
        <v>2.3936000000000001E-3</v>
      </c>
      <c r="L9" s="51">
        <v>3.803E-3</v>
      </c>
      <c r="M9" s="13">
        <v>0.52908891999999996</v>
      </c>
      <c r="N9" s="61">
        <v>412011</v>
      </c>
      <c r="O9" s="51">
        <v>-1.399689E-2</v>
      </c>
      <c r="P9" s="51">
        <v>3.4884199999999999E-3</v>
      </c>
      <c r="Q9" s="13">
        <v>6.0109999999999999E-5</v>
      </c>
      <c r="R9" s="54">
        <v>69866.53</v>
      </c>
      <c r="S9" s="51">
        <v>0.13059999999999999</v>
      </c>
      <c r="T9" s="51">
        <v>2.01E-2</v>
      </c>
      <c r="U9" s="16">
        <v>2.0000000000000002E-5</v>
      </c>
      <c r="V9" s="50">
        <v>122054</v>
      </c>
      <c r="W9" s="51">
        <v>7.7579399999999996E-3</v>
      </c>
      <c r="X9" s="51">
        <v>2.01987E-3</v>
      </c>
      <c r="Y9" s="13">
        <v>1.8678E-4</v>
      </c>
      <c r="Z9" s="54">
        <v>97817</v>
      </c>
      <c r="AA9" s="51">
        <v>3.1955999999999998E-2</v>
      </c>
      <c r="AB9" s="51">
        <v>3.2184800000000001E-3</v>
      </c>
      <c r="AC9" s="16">
        <v>2.0000000000000002E-5</v>
      </c>
      <c r="AD9" s="50">
        <v>122057</v>
      </c>
      <c r="AE9" s="51">
        <v>6.7016000000000003E-3</v>
      </c>
      <c r="AF9" s="51">
        <v>2.9579799999999998E-3</v>
      </c>
      <c r="AG9" s="13">
        <v>9.09482E-3</v>
      </c>
      <c r="AH9" s="54">
        <v>50375</v>
      </c>
      <c r="AI9" s="51">
        <v>2.6954499999999999E-2</v>
      </c>
      <c r="AJ9" s="51">
        <v>1.47116E-2</v>
      </c>
      <c r="AK9" s="16">
        <v>3.8052500000000003E-2</v>
      </c>
      <c r="AL9" s="50">
        <v>132977</v>
      </c>
      <c r="AM9" s="51">
        <v>-3.8E-3</v>
      </c>
      <c r="AN9" s="51">
        <v>8.6E-3</v>
      </c>
      <c r="AO9" s="13">
        <v>0.66139999999999999</v>
      </c>
      <c r="AP9" s="54">
        <v>69351</v>
      </c>
      <c r="AQ9" s="51">
        <v>4.1799999999999997E-2</v>
      </c>
      <c r="AR9" s="51">
        <v>3.0200000000000001E-2</v>
      </c>
      <c r="AS9" s="16">
        <v>0.16639999999999999</v>
      </c>
      <c r="AT9" s="50">
        <v>316391</v>
      </c>
      <c r="AU9" s="51">
        <v>-4.9765799999999999E-2</v>
      </c>
      <c r="AV9" s="51">
        <v>3.9119999999999997E-3</v>
      </c>
      <c r="AW9" s="13">
        <v>2.0000000000000002E-5</v>
      </c>
      <c r="AX9" s="54">
        <v>295826</v>
      </c>
      <c r="AY9" s="51">
        <v>4.0526E-3</v>
      </c>
      <c r="AZ9" s="51">
        <v>4.0489999999999996E-3</v>
      </c>
      <c r="BA9" s="16">
        <v>0.316853</v>
      </c>
      <c r="BB9" s="50">
        <v>305699</v>
      </c>
      <c r="BC9" s="51">
        <v>4.4909600000000001E-2</v>
      </c>
      <c r="BD9" s="51">
        <v>3.9779999999999998E-3</v>
      </c>
      <c r="BE9" s="13">
        <v>2.0000000000000002E-5</v>
      </c>
      <c r="BF9" s="54">
        <v>319677</v>
      </c>
      <c r="BG9" s="51">
        <v>4.4519999999999998E-4</v>
      </c>
      <c r="BH9" s="51">
        <v>3.8899999999999998E-3</v>
      </c>
      <c r="BI9" s="16">
        <v>0.90888800000000003</v>
      </c>
      <c r="BJ9" s="50">
        <v>187847</v>
      </c>
      <c r="BK9" s="51">
        <v>0.15229999999999999</v>
      </c>
      <c r="BL9" s="51">
        <v>5.3800000000000001E-2</v>
      </c>
      <c r="BM9" s="13">
        <v>4.6480000000000002E-3</v>
      </c>
      <c r="BN9" s="54">
        <v>187817</v>
      </c>
      <c r="BO9" s="51">
        <v>0.26779999999999998</v>
      </c>
      <c r="BP9" s="51">
        <v>9.0200000000000002E-2</v>
      </c>
      <c r="BQ9" s="13">
        <v>2.9949999999999998E-3</v>
      </c>
    </row>
    <row r="10" spans="1:69" x14ac:dyDescent="0.25">
      <c r="A10" s="1" t="s">
        <v>2012</v>
      </c>
      <c r="B10" s="1" t="s">
        <v>42</v>
      </c>
      <c r="C10" s="1">
        <v>2</v>
      </c>
      <c r="D10" s="1">
        <v>188343497</v>
      </c>
      <c r="E10" s="37" t="s">
        <v>43</v>
      </c>
      <c r="F10" s="654" t="s">
        <v>44</v>
      </c>
      <c r="G10" s="1" t="s">
        <v>23</v>
      </c>
      <c r="H10" s="1" t="s">
        <v>17</v>
      </c>
      <c r="I10" s="4">
        <v>0.69699999999999995</v>
      </c>
      <c r="J10" s="50">
        <v>428388</v>
      </c>
      <c r="K10" s="51">
        <v>-5.6819499999999998E-3</v>
      </c>
      <c r="L10" s="51">
        <v>2.4912300000000001E-3</v>
      </c>
      <c r="M10" s="13">
        <v>2.2561419999999999E-2</v>
      </c>
      <c r="N10" s="61">
        <v>494861</v>
      </c>
      <c r="O10" s="51">
        <v>1.0543739999999999E-2</v>
      </c>
      <c r="P10" s="51">
        <v>2.2582000000000001E-3</v>
      </c>
      <c r="Q10" s="13">
        <v>2.0000000000000002E-5</v>
      </c>
      <c r="R10" s="54">
        <v>69864.320000000007</v>
      </c>
      <c r="S10" s="51">
        <v>2.8000000000000001E-2</v>
      </c>
      <c r="T10" s="51">
        <v>1.3899999999999999E-2</v>
      </c>
      <c r="U10" s="16">
        <v>3.9210000000000002E-2</v>
      </c>
      <c r="V10" s="50">
        <v>131159</v>
      </c>
      <c r="W10" s="51">
        <v>8.5433000000000004E-4</v>
      </c>
      <c r="X10" s="51">
        <v>1.42216E-3</v>
      </c>
      <c r="Y10" s="13">
        <v>0.452704</v>
      </c>
      <c r="Z10" s="54">
        <v>104096</v>
      </c>
      <c r="AA10" s="51">
        <v>-9.2188999999999997E-4</v>
      </c>
      <c r="AB10" s="51">
        <v>2.2119499999999999E-3</v>
      </c>
      <c r="AC10" s="16">
        <v>0.54620899999999994</v>
      </c>
      <c r="AD10" s="50">
        <v>127446</v>
      </c>
      <c r="AE10" s="51">
        <v>-3.4127000000000002E-4</v>
      </c>
      <c r="AF10" s="51">
        <v>2.04799E-3</v>
      </c>
      <c r="AG10" s="13">
        <v>0.64402400000000004</v>
      </c>
      <c r="AH10" s="54">
        <v>57842</v>
      </c>
      <c r="AI10" s="51">
        <v>-1.0469699999999999E-3</v>
      </c>
      <c r="AJ10" s="51">
        <v>9.3926300000000008E-3</v>
      </c>
      <c r="AK10" s="16">
        <v>0.83282999999999996</v>
      </c>
      <c r="AL10" s="50">
        <v>132947</v>
      </c>
      <c r="AM10" s="51">
        <v>5.8999999999999999E-3</v>
      </c>
      <c r="AN10" s="51">
        <v>6.1999999999999998E-3</v>
      </c>
      <c r="AO10" s="13">
        <v>0.34179999999999999</v>
      </c>
      <c r="AP10" s="54">
        <v>69338.8</v>
      </c>
      <c r="AQ10" s="51">
        <v>0.1022</v>
      </c>
      <c r="AR10" s="51">
        <v>2.1700000000000001E-2</v>
      </c>
      <c r="AS10" s="16">
        <v>2.0000000000000002E-5</v>
      </c>
      <c r="AT10" s="50">
        <v>314199</v>
      </c>
      <c r="AU10" s="51">
        <v>-1.26296E-2</v>
      </c>
      <c r="AV10" s="51">
        <v>2.7880000000000001E-3</v>
      </c>
      <c r="AW10" s="13">
        <v>2.0000000000000002E-5</v>
      </c>
      <c r="AX10" s="54">
        <v>293723</v>
      </c>
      <c r="AY10" s="51">
        <v>4.1653000000000003E-3</v>
      </c>
      <c r="AZ10" s="51">
        <v>2.8839999999999998E-3</v>
      </c>
      <c r="BA10" s="16">
        <v>0.14868999999999999</v>
      </c>
      <c r="BB10" s="50">
        <v>303508</v>
      </c>
      <c r="BC10" s="51">
        <v>4.0379999999999999E-3</v>
      </c>
      <c r="BD10" s="51">
        <v>2.8349999999999998E-3</v>
      </c>
      <c r="BE10" s="13">
        <v>0.1543805</v>
      </c>
      <c r="BF10" s="54">
        <v>317486</v>
      </c>
      <c r="BG10" s="51">
        <v>9.5480000000000001E-4</v>
      </c>
      <c r="BH10" s="51">
        <v>2.771E-3</v>
      </c>
      <c r="BI10" s="16">
        <v>0.73044900000000001</v>
      </c>
      <c r="BJ10" s="50">
        <v>174342</v>
      </c>
      <c r="BK10" s="51">
        <v>9.2299999999999993E-2</v>
      </c>
      <c r="BL10" s="51">
        <v>3.9100000000000003E-2</v>
      </c>
      <c r="BM10" s="13">
        <v>1.813E-2</v>
      </c>
      <c r="BN10" s="54">
        <v>174352</v>
      </c>
      <c r="BO10" s="51">
        <v>0.18229999999999999</v>
      </c>
      <c r="BP10" s="51">
        <v>6.59E-2</v>
      </c>
      <c r="BQ10" s="13">
        <v>5.672E-3</v>
      </c>
    </row>
    <row r="11" spans="1:69" x14ac:dyDescent="0.25">
      <c r="A11" s="1" t="s">
        <v>2013</v>
      </c>
      <c r="B11" s="1" t="s">
        <v>47</v>
      </c>
      <c r="C11" s="1">
        <v>3</v>
      </c>
      <c r="D11" s="1">
        <v>50597092</v>
      </c>
      <c r="E11" s="37" t="s">
        <v>48</v>
      </c>
      <c r="F11" s="654" t="s">
        <v>49</v>
      </c>
      <c r="G11" s="1" t="s">
        <v>24</v>
      </c>
      <c r="H11" s="1" t="s">
        <v>16</v>
      </c>
      <c r="I11" s="4">
        <v>0.1348</v>
      </c>
      <c r="J11" s="50">
        <v>437739</v>
      </c>
      <c r="K11" s="51">
        <v>2.5226829999999999E-2</v>
      </c>
      <c r="L11" s="51">
        <v>3.2829199999999999E-3</v>
      </c>
      <c r="M11" s="13">
        <v>2.0000000000000002E-5</v>
      </c>
      <c r="N11" s="61">
        <v>505512</v>
      </c>
      <c r="O11" s="51">
        <v>-1.10939E-2</v>
      </c>
      <c r="P11" s="51">
        <v>2.9927500000000002E-3</v>
      </c>
      <c r="Q11" s="13">
        <v>2.0979000000000001E-4</v>
      </c>
      <c r="R11" s="54">
        <v>69866.53</v>
      </c>
      <c r="S11" s="51">
        <v>4.6800000000000001E-2</v>
      </c>
      <c r="T11" s="51">
        <v>2.23E-2</v>
      </c>
      <c r="U11" s="16">
        <v>0.14499999999999999</v>
      </c>
      <c r="V11" s="50">
        <v>138563</v>
      </c>
      <c r="W11" s="51">
        <v>-1.8977499999999999E-3</v>
      </c>
      <c r="X11" s="51">
        <v>1.8618E-3</v>
      </c>
      <c r="Y11" s="13">
        <v>0.24021000000000001</v>
      </c>
      <c r="Z11" s="54">
        <v>100000</v>
      </c>
      <c r="AA11" s="51">
        <v>1.51977E-2</v>
      </c>
      <c r="AB11" s="51">
        <v>3.1203899999999998E-3</v>
      </c>
      <c r="AC11" s="16">
        <v>2.0000000000000002E-5</v>
      </c>
      <c r="AD11" s="50">
        <v>125506</v>
      </c>
      <c r="AE11" s="51">
        <v>2.3512099999999998E-3</v>
      </c>
      <c r="AF11" s="51">
        <v>2.7914300000000001E-3</v>
      </c>
      <c r="AG11" s="13">
        <v>0.39846799999999999</v>
      </c>
      <c r="AH11" s="54">
        <v>54614</v>
      </c>
      <c r="AI11" s="51">
        <v>3.2779000000000003E-2</v>
      </c>
      <c r="AJ11" s="51">
        <v>1.30896E-2</v>
      </c>
      <c r="AK11" s="16">
        <v>8.9939800000000004E-3</v>
      </c>
      <c r="AL11" s="50">
        <v>130179</v>
      </c>
      <c r="AM11" s="51">
        <v>3.4099999999999998E-2</v>
      </c>
      <c r="AN11" s="51">
        <v>8.5000000000000006E-3</v>
      </c>
      <c r="AO11" s="13">
        <v>6.3999999999999997E-5</v>
      </c>
      <c r="AP11" s="54">
        <v>69319.8</v>
      </c>
      <c r="AQ11" s="51">
        <v>-6.0000000000000001E-3</v>
      </c>
      <c r="AR11" s="51">
        <v>3.0300000000000001E-2</v>
      </c>
      <c r="AS11" s="16">
        <v>0.84240000000000004</v>
      </c>
      <c r="AT11" s="50">
        <v>295475</v>
      </c>
      <c r="AU11" s="51">
        <v>-9.7877999999999993E-3</v>
      </c>
      <c r="AV11" s="51">
        <v>3.8779999999999999E-3</v>
      </c>
      <c r="AW11" s="13">
        <v>1.1599999999999999E-2</v>
      </c>
      <c r="AX11" s="54">
        <v>276356</v>
      </c>
      <c r="AY11" s="51">
        <v>-1.10802E-2</v>
      </c>
      <c r="AZ11" s="51">
        <v>4.0099999999999997E-3</v>
      </c>
      <c r="BA11" s="16">
        <v>5.7242999999999999E-3</v>
      </c>
      <c r="BB11" s="50">
        <v>284767</v>
      </c>
      <c r="BC11" s="51">
        <v>6.3905999999999998E-3</v>
      </c>
      <c r="BD11" s="51">
        <v>3.9529999999999999E-3</v>
      </c>
      <c r="BE11" s="13">
        <v>0.105971</v>
      </c>
      <c r="BF11" s="54">
        <v>298725</v>
      </c>
      <c r="BG11" s="51">
        <v>-1.093E-2</v>
      </c>
      <c r="BH11" s="51">
        <v>3.8530000000000001E-3</v>
      </c>
      <c r="BI11" s="16">
        <v>4.5440000000000003E-3</v>
      </c>
      <c r="BJ11" s="50">
        <v>167175</v>
      </c>
      <c r="BK11" s="51">
        <v>0.1678</v>
      </c>
      <c r="BL11" s="51">
        <v>5.45E-2</v>
      </c>
      <c r="BM11" s="13">
        <v>2.0799999999999998E-3</v>
      </c>
      <c r="BN11" s="54">
        <v>167135</v>
      </c>
      <c r="BO11" s="51">
        <v>0.26019999999999999</v>
      </c>
      <c r="BP11" s="51">
        <v>9.0899999999999995E-2</v>
      </c>
      <c r="BQ11" s="13">
        <v>4.202E-3</v>
      </c>
    </row>
    <row r="12" spans="1:69" x14ac:dyDescent="0.25">
      <c r="A12" s="1" t="s">
        <v>2014</v>
      </c>
      <c r="B12" s="1" t="s">
        <v>51</v>
      </c>
      <c r="C12" s="1">
        <v>3</v>
      </c>
      <c r="D12" s="1">
        <v>52558008</v>
      </c>
      <c r="E12" s="37" t="s">
        <v>915</v>
      </c>
      <c r="F12" s="654" t="s">
        <v>52</v>
      </c>
      <c r="G12" s="1" t="s">
        <v>23</v>
      </c>
      <c r="H12" s="1" t="s">
        <v>17</v>
      </c>
      <c r="I12" s="4">
        <v>0.44540000000000002</v>
      </c>
      <c r="J12" s="50">
        <v>447053</v>
      </c>
      <c r="K12" s="51">
        <v>2.4735400000000002E-3</v>
      </c>
      <c r="L12" s="51">
        <v>2.4070599999999999E-3</v>
      </c>
      <c r="M12" s="13">
        <v>0.30412918999999999</v>
      </c>
      <c r="N12" s="61">
        <v>514656</v>
      </c>
      <c r="O12" s="51">
        <v>-1.161071E-2</v>
      </c>
      <c r="P12" s="51">
        <v>2.1427199999999999E-3</v>
      </c>
      <c r="Q12" s="13">
        <v>2.0000000000000002E-5</v>
      </c>
      <c r="R12" s="54">
        <v>69866.53</v>
      </c>
      <c r="S12" s="51">
        <v>-5.0000000000000001E-4</v>
      </c>
      <c r="T12" s="51">
        <v>1.54E-2</v>
      </c>
      <c r="U12" s="16">
        <v>0.15959999999999999</v>
      </c>
      <c r="V12" s="50">
        <v>127449</v>
      </c>
      <c r="W12" s="51">
        <v>-3.6506799999999999E-3</v>
      </c>
      <c r="X12" s="51">
        <v>1.38784E-3</v>
      </c>
      <c r="Y12" s="13">
        <v>6.1558300000000002E-3</v>
      </c>
      <c r="Z12" s="54">
        <v>93231</v>
      </c>
      <c r="AA12" s="51">
        <v>7.3078600000000002E-3</v>
      </c>
      <c r="AB12" s="51">
        <v>2.2462300000000001E-3</v>
      </c>
      <c r="AC12" s="16">
        <v>4.9260999999999999E-4</v>
      </c>
      <c r="AD12" s="50">
        <v>117444</v>
      </c>
      <c r="AE12" s="51">
        <v>-3.3440999999999999E-4</v>
      </c>
      <c r="AF12" s="51">
        <v>2.0496400000000001E-3</v>
      </c>
      <c r="AG12" s="13">
        <v>0.85044200000000003</v>
      </c>
      <c r="AH12" s="54">
        <v>47103</v>
      </c>
      <c r="AI12" s="51">
        <v>2.8292000000000001E-2</v>
      </c>
      <c r="AJ12" s="51">
        <v>9.9262499999999993E-3</v>
      </c>
      <c r="AK12" s="16">
        <v>4.4199599999999997E-3</v>
      </c>
      <c r="AL12" s="50">
        <v>89127</v>
      </c>
      <c r="AM12" s="51">
        <v>-1.95E-2</v>
      </c>
      <c r="AN12" s="51">
        <v>6.7999999999999996E-3</v>
      </c>
      <c r="AO12" s="13">
        <v>3.8570000000000002E-3</v>
      </c>
      <c r="AP12" s="54">
        <v>25486.799999999999</v>
      </c>
      <c r="AQ12" s="51">
        <v>-2.5499999999999998E-2</v>
      </c>
      <c r="AR12" s="51">
        <v>3.6299999999999999E-2</v>
      </c>
      <c r="AS12" s="16">
        <v>0.48270000000000002</v>
      </c>
      <c r="AT12" s="50">
        <v>311551</v>
      </c>
      <c r="AU12" s="51">
        <v>-1.4148000000000001E-2</v>
      </c>
      <c r="AV12" s="51">
        <v>2.6340000000000001E-3</v>
      </c>
      <c r="AW12" s="13">
        <v>2.0000000000000002E-5</v>
      </c>
      <c r="AX12" s="54">
        <v>291053</v>
      </c>
      <c r="AY12" s="51">
        <v>-1.14395E-2</v>
      </c>
      <c r="AZ12" s="51">
        <v>2.7260000000000001E-3</v>
      </c>
      <c r="BA12" s="16">
        <v>2.72E-5</v>
      </c>
      <c r="BB12" s="50">
        <v>300795</v>
      </c>
      <c r="BC12" s="51">
        <v>1.174E-2</v>
      </c>
      <c r="BD12" s="51">
        <v>2.6800000000000001E-3</v>
      </c>
      <c r="BE12" s="13">
        <v>2.0000000000000002E-5</v>
      </c>
      <c r="BF12" s="54">
        <v>314779</v>
      </c>
      <c r="BG12" s="51">
        <v>-9.8218000000000003E-3</v>
      </c>
      <c r="BH12" s="51">
        <v>2.617E-3</v>
      </c>
      <c r="BI12" s="16">
        <v>1.7450000000000001E-4</v>
      </c>
      <c r="BJ12" s="50">
        <v>187811</v>
      </c>
      <c r="BK12" s="51">
        <v>-9.4200000000000006E-2</v>
      </c>
      <c r="BL12" s="51">
        <v>3.5299999999999998E-2</v>
      </c>
      <c r="BM12" s="13">
        <v>7.7159999999999998E-3</v>
      </c>
      <c r="BN12" s="54">
        <v>187781</v>
      </c>
      <c r="BO12" s="51">
        <v>-0.29199999999999998</v>
      </c>
      <c r="BP12" s="51">
        <v>5.9299999999999999E-2</v>
      </c>
      <c r="BQ12" s="13">
        <v>2.0000000000000002E-5</v>
      </c>
    </row>
    <row r="13" spans="1:69" x14ac:dyDescent="0.25">
      <c r="A13" s="1" t="s">
        <v>2015</v>
      </c>
      <c r="B13" s="1" t="s">
        <v>55</v>
      </c>
      <c r="C13" s="1">
        <v>3</v>
      </c>
      <c r="D13" s="1">
        <v>52833805</v>
      </c>
      <c r="E13" s="37" t="s">
        <v>916</v>
      </c>
      <c r="F13" s="654" t="s">
        <v>56</v>
      </c>
      <c r="G13" s="1" t="s">
        <v>17</v>
      </c>
      <c r="H13" s="1" t="s">
        <v>16</v>
      </c>
      <c r="I13" s="4">
        <v>0.54069999999999996</v>
      </c>
      <c r="J13" s="50">
        <v>434777</v>
      </c>
      <c r="K13" s="51">
        <v>3.15242E-3</v>
      </c>
      <c r="L13" s="51">
        <v>2.41187E-3</v>
      </c>
      <c r="M13" s="13">
        <v>0.19119774</v>
      </c>
      <c r="N13" s="61">
        <v>502279</v>
      </c>
      <c r="O13" s="51">
        <v>-1.434361E-2</v>
      </c>
      <c r="P13" s="51">
        <v>2.1554399999999998E-3</v>
      </c>
      <c r="Q13" s="13">
        <v>2.0000000000000002E-5</v>
      </c>
      <c r="R13" s="54">
        <v>69866.16</v>
      </c>
      <c r="S13" s="51">
        <v>5.7999999999999996E-3</v>
      </c>
      <c r="T13" s="51">
        <v>1.2800000000000001E-2</v>
      </c>
      <c r="U13" s="16">
        <v>0.6502</v>
      </c>
      <c r="V13" s="50">
        <v>143470</v>
      </c>
      <c r="W13" s="51">
        <v>-4.6316899999999999E-3</v>
      </c>
      <c r="X13" s="51">
        <v>1.33248E-3</v>
      </c>
      <c r="Y13" s="13">
        <v>1.6937000000000001E-4</v>
      </c>
      <c r="Z13" s="54">
        <v>103567</v>
      </c>
      <c r="AA13" s="51">
        <v>7.70866E-3</v>
      </c>
      <c r="AB13" s="51">
        <v>2.1065699999999999E-3</v>
      </c>
      <c r="AC13" s="16">
        <v>1.2373000000000001E-4</v>
      </c>
      <c r="AD13" s="50">
        <v>126914</v>
      </c>
      <c r="AE13" s="51">
        <v>-1.2971E-4</v>
      </c>
      <c r="AF13" s="51">
        <v>1.9720900000000001E-3</v>
      </c>
      <c r="AG13" s="13">
        <v>0.80806800000000001</v>
      </c>
      <c r="AH13" s="54">
        <v>57311</v>
      </c>
      <c r="AI13" s="51">
        <v>2.6980500000000001E-2</v>
      </c>
      <c r="AJ13" s="51">
        <v>8.9286000000000001E-3</v>
      </c>
      <c r="AK13" s="16">
        <v>2.09772E-3</v>
      </c>
      <c r="AL13" s="50">
        <v>132945</v>
      </c>
      <c r="AM13" s="51">
        <v>-7.1999999999999998E-3</v>
      </c>
      <c r="AN13" s="51">
        <v>5.7000000000000002E-3</v>
      </c>
      <c r="AO13" s="13">
        <v>0.20380000000000001</v>
      </c>
      <c r="AP13" s="54">
        <v>69348.899999999994</v>
      </c>
      <c r="AQ13" s="51">
        <v>-2.9000000000000001E-2</v>
      </c>
      <c r="AR13" s="51">
        <v>2.0199999999999999E-2</v>
      </c>
      <c r="AS13" s="16">
        <v>0.1507</v>
      </c>
      <c r="AT13" s="50">
        <v>303487</v>
      </c>
      <c r="AU13" s="51">
        <v>-1.28056E-2</v>
      </c>
      <c r="AV13" s="51">
        <v>2.6640000000000001E-3</v>
      </c>
      <c r="AW13" s="13">
        <v>2.0000000000000002E-5</v>
      </c>
      <c r="AX13" s="54">
        <v>285068</v>
      </c>
      <c r="AY13" s="51">
        <v>-9.3054999999999995E-3</v>
      </c>
      <c r="AZ13" s="51">
        <v>2.7490000000000001E-3</v>
      </c>
      <c r="BA13" s="16">
        <v>7.1319999999999999E-4</v>
      </c>
      <c r="BB13" s="50">
        <v>293414</v>
      </c>
      <c r="BC13" s="51">
        <v>8.5092999999999992E-3</v>
      </c>
      <c r="BD13" s="51">
        <v>2.709E-3</v>
      </c>
      <c r="BE13" s="13">
        <v>1.681E-3</v>
      </c>
      <c r="BF13" s="54">
        <v>306811</v>
      </c>
      <c r="BG13" s="51">
        <v>-8.3199999999999993E-3</v>
      </c>
      <c r="BH13" s="51">
        <v>2.6459999999999999E-3</v>
      </c>
      <c r="BI13" s="16">
        <v>1.6620000000000001E-3</v>
      </c>
      <c r="BJ13" s="50">
        <v>187789</v>
      </c>
      <c r="BK13" s="51">
        <v>-7.3899999999999993E-2</v>
      </c>
      <c r="BL13" s="51">
        <v>3.5200000000000002E-2</v>
      </c>
      <c r="BM13" s="13">
        <v>3.5639999999999998E-2</v>
      </c>
      <c r="BN13" s="54">
        <v>187759</v>
      </c>
      <c r="BO13" s="51">
        <v>-0.26590000000000003</v>
      </c>
      <c r="BP13" s="51">
        <v>5.8999999999999997E-2</v>
      </c>
      <c r="BQ13" s="13">
        <v>2.0000000000000002E-5</v>
      </c>
    </row>
    <row r="14" spans="1:69" x14ac:dyDescent="0.25">
      <c r="A14" s="1" t="s">
        <v>2016</v>
      </c>
      <c r="B14" s="1" t="s">
        <v>58</v>
      </c>
      <c r="C14" s="1">
        <v>3</v>
      </c>
      <c r="D14" s="1">
        <v>129137188</v>
      </c>
      <c r="E14" s="37" t="s">
        <v>917</v>
      </c>
      <c r="F14" s="654" t="s">
        <v>59</v>
      </c>
      <c r="G14" s="1" t="s">
        <v>17</v>
      </c>
      <c r="H14" s="1" t="s">
        <v>23</v>
      </c>
      <c r="I14" s="4">
        <v>0.93610000000000004</v>
      </c>
      <c r="J14" s="50">
        <v>458253</v>
      </c>
      <c r="K14" s="51">
        <v>-1.6868850000000001E-2</v>
      </c>
      <c r="L14" s="51">
        <v>4.58903E-3</v>
      </c>
      <c r="M14" s="13">
        <v>2.3699999999999999E-4</v>
      </c>
      <c r="N14" s="61">
        <v>526508</v>
      </c>
      <c r="O14" s="51">
        <v>-5.0115699999999999E-3</v>
      </c>
      <c r="P14" s="51">
        <v>4.1824499999999999E-3</v>
      </c>
      <c r="Q14" s="13">
        <v>0.23082415000000001</v>
      </c>
      <c r="R14" s="54">
        <v>69864.59</v>
      </c>
      <c r="S14" s="51">
        <v>5.9299999999999999E-2</v>
      </c>
      <c r="T14" s="51">
        <v>2.4199999999999999E-2</v>
      </c>
      <c r="U14" s="16">
        <v>3.9030000000000002E-2</v>
      </c>
      <c r="V14" s="50">
        <v>144036</v>
      </c>
      <c r="W14" s="51">
        <v>6.1089100000000004E-3</v>
      </c>
      <c r="X14" s="51">
        <v>2.5242699999999999E-3</v>
      </c>
      <c r="Y14" s="13">
        <v>2.70456E-2</v>
      </c>
      <c r="Z14" s="54">
        <v>100748</v>
      </c>
      <c r="AA14" s="51">
        <v>6.1561699999999999E-3</v>
      </c>
      <c r="AB14" s="51">
        <v>4.1529999999999996E-3</v>
      </c>
      <c r="AC14" s="16">
        <v>0.41968299999999997</v>
      </c>
      <c r="AD14" s="50">
        <v>126265</v>
      </c>
      <c r="AE14" s="51">
        <v>2.4151400000000001E-3</v>
      </c>
      <c r="AF14" s="51">
        <v>3.7728800000000002E-3</v>
      </c>
      <c r="AG14" s="13">
        <v>0.58874400000000005</v>
      </c>
      <c r="AH14" s="54">
        <v>57869</v>
      </c>
      <c r="AI14" s="51">
        <v>2.17895E-2</v>
      </c>
      <c r="AJ14" s="51">
        <v>1.6512800000000001E-2</v>
      </c>
      <c r="AK14" s="16">
        <v>0.158081</v>
      </c>
      <c r="AL14" s="50" t="s">
        <v>312</v>
      </c>
      <c r="AM14" s="51" t="s">
        <v>312</v>
      </c>
      <c r="AN14" s="51" t="s">
        <v>312</v>
      </c>
      <c r="AO14" s="13" t="s">
        <v>312</v>
      </c>
      <c r="AP14" s="54" t="s">
        <v>312</v>
      </c>
      <c r="AQ14" s="51" t="s">
        <v>312</v>
      </c>
      <c r="AR14" s="51" t="s">
        <v>312</v>
      </c>
      <c r="AS14" s="16" t="s">
        <v>312</v>
      </c>
      <c r="AT14" s="50">
        <v>314415</v>
      </c>
      <c r="AU14" s="51">
        <v>-3.1507000000000002E-3</v>
      </c>
      <c r="AV14" s="51">
        <v>5.3600000000000002E-3</v>
      </c>
      <c r="AW14" s="13">
        <v>0.55663320000000005</v>
      </c>
      <c r="AX14" s="54">
        <v>293853</v>
      </c>
      <c r="AY14" s="51">
        <v>9.7409999999999997E-3</v>
      </c>
      <c r="AZ14" s="51">
        <v>5.5700000000000003E-3</v>
      </c>
      <c r="BA14" s="16">
        <v>8.0329999999999999E-2</v>
      </c>
      <c r="BB14" s="50">
        <v>303685</v>
      </c>
      <c r="BC14" s="51">
        <v>7.9880000000000003E-3</v>
      </c>
      <c r="BD14" s="51">
        <v>5.476E-3</v>
      </c>
      <c r="BE14" s="13">
        <v>0.14460000000000001</v>
      </c>
      <c r="BF14" s="54">
        <v>317660</v>
      </c>
      <c r="BG14" s="51">
        <v>7.0070000000000002E-3</v>
      </c>
      <c r="BH14" s="51">
        <v>5.3280000000000003E-3</v>
      </c>
      <c r="BI14" s="16">
        <v>0.1885</v>
      </c>
      <c r="BJ14" s="50">
        <v>185950</v>
      </c>
      <c r="BK14" s="51">
        <v>-4.7100000000000003E-2</v>
      </c>
      <c r="BL14" s="51">
        <v>6.9000000000000006E-2</v>
      </c>
      <c r="BM14" s="13">
        <v>0.49399999999999999</v>
      </c>
      <c r="BN14" s="54">
        <v>185920</v>
      </c>
      <c r="BO14" s="51">
        <v>0.151</v>
      </c>
      <c r="BP14" s="51">
        <v>0.1153</v>
      </c>
      <c r="BQ14" s="13">
        <v>0.19</v>
      </c>
    </row>
    <row r="15" spans="1:69" x14ac:dyDescent="0.25">
      <c r="A15" s="1" t="s">
        <v>2017</v>
      </c>
      <c r="B15" s="1" t="s">
        <v>62</v>
      </c>
      <c r="C15" s="1">
        <v>3</v>
      </c>
      <c r="D15" s="1">
        <v>129284818</v>
      </c>
      <c r="E15" s="37" t="s">
        <v>216</v>
      </c>
      <c r="F15" s="654" t="s">
        <v>63</v>
      </c>
      <c r="G15" s="1" t="s">
        <v>16</v>
      </c>
      <c r="H15" s="1" t="s">
        <v>17</v>
      </c>
      <c r="I15" s="4">
        <v>0.73280000000000001</v>
      </c>
      <c r="J15" s="50">
        <v>458253</v>
      </c>
      <c r="K15" s="51">
        <v>-1.5694429999999999E-2</v>
      </c>
      <c r="L15" s="51">
        <v>2.5857200000000001E-3</v>
      </c>
      <c r="M15" s="13">
        <v>2.0000000000000002E-5</v>
      </c>
      <c r="N15" s="61">
        <v>526508</v>
      </c>
      <c r="O15" s="51">
        <v>6.2534999999999999E-4</v>
      </c>
      <c r="P15" s="51">
        <v>2.3312099999999998E-3</v>
      </c>
      <c r="Q15" s="13">
        <v>0.78850549999999997</v>
      </c>
      <c r="R15" s="54">
        <v>62739.23</v>
      </c>
      <c r="S15" s="51">
        <v>5.8099999999999999E-2</v>
      </c>
      <c r="T15" s="51">
        <v>1.54E-2</v>
      </c>
      <c r="U15" s="16">
        <v>6.8099999999999996E-4</v>
      </c>
      <c r="V15" s="50">
        <v>144012</v>
      </c>
      <c r="W15" s="51">
        <v>3.35696E-3</v>
      </c>
      <c r="X15" s="51">
        <v>1.4374699999999999E-3</v>
      </c>
      <c r="Y15" s="13">
        <v>1.21336E-2</v>
      </c>
      <c r="Z15" s="54">
        <v>96066</v>
      </c>
      <c r="AA15" s="51">
        <v>2.2329699999999999E-3</v>
      </c>
      <c r="AB15" s="51">
        <v>2.46722E-3</v>
      </c>
      <c r="AC15" s="16">
        <v>0.46400000000000002</v>
      </c>
      <c r="AD15" s="50">
        <v>121528</v>
      </c>
      <c r="AE15" s="51">
        <v>2.3851499999999999E-3</v>
      </c>
      <c r="AF15" s="51">
        <v>2.2072699999999999E-3</v>
      </c>
      <c r="AG15" s="13">
        <v>0.28318300000000002</v>
      </c>
      <c r="AH15" s="54">
        <v>50104</v>
      </c>
      <c r="AI15" s="51">
        <v>7.3433600000000002E-3</v>
      </c>
      <c r="AJ15" s="51">
        <v>1.0579699999999999E-2</v>
      </c>
      <c r="AK15" s="16">
        <v>0.46671499999999999</v>
      </c>
      <c r="AL15" s="50">
        <v>129813</v>
      </c>
      <c r="AM15" s="51">
        <v>-7.7999999999999996E-3</v>
      </c>
      <c r="AN15" s="51">
        <v>6.4000000000000003E-3</v>
      </c>
      <c r="AO15" s="13">
        <v>0.22800000000000001</v>
      </c>
      <c r="AP15" s="54">
        <v>69227</v>
      </c>
      <c r="AQ15" s="51">
        <v>-3.2000000000000001E-2</v>
      </c>
      <c r="AR15" s="51">
        <v>2.3599999999999999E-2</v>
      </c>
      <c r="AS15" s="16">
        <v>0.17430000000000001</v>
      </c>
      <c r="AT15" s="50">
        <v>310567</v>
      </c>
      <c r="AU15" s="51">
        <v>-1.03056E-2</v>
      </c>
      <c r="AV15" s="51">
        <v>2.9710000000000001E-3</v>
      </c>
      <c r="AW15" s="13">
        <v>5.2280000000000002E-4</v>
      </c>
      <c r="AX15" s="54">
        <v>290057</v>
      </c>
      <c r="AY15" s="51">
        <v>-2.7195000000000001E-3</v>
      </c>
      <c r="AZ15" s="51">
        <v>3.0790000000000001E-3</v>
      </c>
      <c r="BA15" s="16">
        <v>0.37709999999999999</v>
      </c>
      <c r="BB15" s="50">
        <v>299927</v>
      </c>
      <c r="BC15" s="51">
        <v>1.333E-2</v>
      </c>
      <c r="BD15" s="51">
        <v>3.026E-3</v>
      </c>
      <c r="BE15" s="13">
        <v>2.0000000000000002E-5</v>
      </c>
      <c r="BF15" s="54">
        <v>313850</v>
      </c>
      <c r="BG15" s="51">
        <v>-3.8210000000000002E-3</v>
      </c>
      <c r="BH15" s="51">
        <v>2.9550000000000002E-3</v>
      </c>
      <c r="BI15" s="16">
        <v>0.19589999999999999</v>
      </c>
      <c r="BJ15" s="50">
        <v>183071</v>
      </c>
      <c r="BK15" s="51">
        <v>-3.2899999999999999E-2</v>
      </c>
      <c r="BL15" s="51">
        <v>4.0599999999999997E-2</v>
      </c>
      <c r="BM15" s="13">
        <v>0.4168</v>
      </c>
      <c r="BN15" s="54">
        <v>183041</v>
      </c>
      <c r="BO15" s="51">
        <v>7.0300000000000001E-2</v>
      </c>
      <c r="BP15" s="51">
        <v>6.7799999999999999E-2</v>
      </c>
      <c r="BQ15" s="13">
        <v>0.3</v>
      </c>
    </row>
    <row r="16" spans="1:69" x14ac:dyDescent="0.25">
      <c r="A16" s="1" t="s">
        <v>2018</v>
      </c>
      <c r="B16" s="1" t="s">
        <v>215</v>
      </c>
      <c r="C16" s="1">
        <v>3</v>
      </c>
      <c r="D16" s="1">
        <v>129293256</v>
      </c>
      <c r="E16" s="37" t="s">
        <v>216</v>
      </c>
      <c r="F16" s="654" t="s">
        <v>217</v>
      </c>
      <c r="G16" s="1" t="s">
        <v>23</v>
      </c>
      <c r="H16" s="1" t="s">
        <v>17</v>
      </c>
      <c r="I16" s="4">
        <v>0.61980000000000002</v>
      </c>
      <c r="J16" s="50">
        <v>447875</v>
      </c>
      <c r="K16" s="51">
        <v>-1.6345479999999999E-2</v>
      </c>
      <c r="L16" s="51">
        <v>2.31928E-3</v>
      </c>
      <c r="M16" s="13">
        <v>2.0000000000000002E-5</v>
      </c>
      <c r="N16" s="61">
        <v>516127</v>
      </c>
      <c r="O16" s="51">
        <v>2.8078700000000001E-3</v>
      </c>
      <c r="P16" s="51">
        <v>2.1077299999999999E-3</v>
      </c>
      <c r="Q16" s="13">
        <v>0.18280279999999999</v>
      </c>
      <c r="R16" s="54">
        <v>69864.320000000007</v>
      </c>
      <c r="S16" s="51">
        <v>5.2299999999999999E-2</v>
      </c>
      <c r="T16" s="51">
        <v>1.34E-2</v>
      </c>
      <c r="U16" s="16">
        <v>5.7830000000000002E-4</v>
      </c>
      <c r="V16" s="50">
        <v>144022</v>
      </c>
      <c r="W16" s="51">
        <v>1.5615799999999999E-3</v>
      </c>
      <c r="X16" s="51">
        <v>1.2977399999999999E-3</v>
      </c>
      <c r="Y16" s="13">
        <v>0.35566300000000001</v>
      </c>
      <c r="Z16" s="54">
        <v>100569</v>
      </c>
      <c r="AA16" s="51">
        <v>2.1576799999999999E-3</v>
      </c>
      <c r="AB16" s="51">
        <v>2.1905100000000001E-3</v>
      </c>
      <c r="AC16" s="16">
        <v>0.326129</v>
      </c>
      <c r="AD16" s="50">
        <v>126076</v>
      </c>
      <c r="AE16" s="51">
        <v>1.8406900000000001E-3</v>
      </c>
      <c r="AF16" s="51">
        <v>1.9835E-3</v>
      </c>
      <c r="AG16" s="13">
        <v>0.37799300000000002</v>
      </c>
      <c r="AH16" s="54">
        <v>54723</v>
      </c>
      <c r="AI16" s="51">
        <v>5.9552800000000003E-3</v>
      </c>
      <c r="AJ16" s="51">
        <v>9.2988700000000007E-3</v>
      </c>
      <c r="AK16" s="16">
        <v>0.53753600000000001</v>
      </c>
      <c r="AL16" s="50">
        <v>132923</v>
      </c>
      <c r="AM16" s="51">
        <v>-8.6999999999999994E-3</v>
      </c>
      <c r="AN16" s="51">
        <v>5.8999999999999999E-3</v>
      </c>
      <c r="AO16" s="13">
        <v>0.14000000000000001</v>
      </c>
      <c r="AP16" s="54">
        <v>69344</v>
      </c>
      <c r="AQ16" s="51">
        <v>-2.23E-2</v>
      </c>
      <c r="AR16" s="51">
        <v>2.2100000000000002E-2</v>
      </c>
      <c r="AS16" s="16">
        <v>0.31359999999999999</v>
      </c>
      <c r="AT16" s="50">
        <v>316391</v>
      </c>
      <c r="AU16" s="51">
        <v>-8.6657000000000001E-3</v>
      </c>
      <c r="AV16" s="51">
        <v>2.617E-3</v>
      </c>
      <c r="AW16" s="13">
        <v>9.2730000000000004E-4</v>
      </c>
      <c r="AX16" s="54">
        <v>295826</v>
      </c>
      <c r="AY16" s="51">
        <v>-4.5345000000000003E-3</v>
      </c>
      <c r="AZ16" s="51">
        <v>2.7070000000000002E-3</v>
      </c>
      <c r="BA16" s="16">
        <v>9.393E-2</v>
      </c>
      <c r="BB16" s="50">
        <v>305699</v>
      </c>
      <c r="BC16" s="51">
        <v>6.8209999999999998E-3</v>
      </c>
      <c r="BD16" s="51">
        <v>2.6610000000000002E-3</v>
      </c>
      <c r="BE16" s="13">
        <v>1.0370000000000001E-2</v>
      </c>
      <c r="BF16" s="54">
        <v>319677</v>
      </c>
      <c r="BG16" s="51">
        <v>-4.8719999999999996E-3</v>
      </c>
      <c r="BH16" s="51">
        <v>2.6029999999999998E-3</v>
      </c>
      <c r="BI16" s="16">
        <v>6.1249999999999999E-2</v>
      </c>
      <c r="BJ16" s="50">
        <v>187831</v>
      </c>
      <c r="BK16" s="51">
        <v>-2.69E-2</v>
      </c>
      <c r="BL16" s="51">
        <v>3.5799999999999998E-2</v>
      </c>
      <c r="BM16" s="13">
        <v>0.45319999999999999</v>
      </c>
      <c r="BN16" s="54">
        <v>187801</v>
      </c>
      <c r="BO16" s="51">
        <v>8.9300000000000004E-2</v>
      </c>
      <c r="BP16" s="51">
        <v>6.0100000000000001E-2</v>
      </c>
      <c r="BQ16" s="13">
        <v>0.13730000000000001</v>
      </c>
    </row>
    <row r="17" spans="1:69" x14ac:dyDescent="0.25">
      <c r="A17" s="1" t="s">
        <v>2019</v>
      </c>
      <c r="B17" s="1" t="s">
        <v>65</v>
      </c>
      <c r="C17" s="1">
        <v>4</v>
      </c>
      <c r="D17" s="1">
        <v>89625427</v>
      </c>
      <c r="E17" s="37" t="s">
        <v>918</v>
      </c>
      <c r="F17" s="654" t="s">
        <v>66</v>
      </c>
      <c r="G17" s="1" t="s">
        <v>24</v>
      </c>
      <c r="H17" s="1" t="s">
        <v>17</v>
      </c>
      <c r="I17" s="4">
        <v>0.83809999999999996</v>
      </c>
      <c r="J17" s="50">
        <v>428616</v>
      </c>
      <c r="K17" s="51">
        <v>2.3229600000000002E-3</v>
      </c>
      <c r="L17" s="51">
        <v>3.0863599999999998E-3</v>
      </c>
      <c r="M17" s="13">
        <v>0.45165783999999998</v>
      </c>
      <c r="N17" s="61">
        <v>496120</v>
      </c>
      <c r="O17" s="51">
        <v>-1.1374499999999999E-2</v>
      </c>
      <c r="P17" s="51">
        <v>2.81598E-3</v>
      </c>
      <c r="Q17" s="13">
        <v>5.3619999999999998E-5</v>
      </c>
      <c r="R17" s="54">
        <v>59887.99</v>
      </c>
      <c r="S17" s="51">
        <v>4.4600000000000001E-2</v>
      </c>
      <c r="T17" s="51">
        <v>1.8499999999999999E-2</v>
      </c>
      <c r="U17" s="16">
        <v>2.6249999999999999E-2</v>
      </c>
      <c r="V17" s="50">
        <v>137856</v>
      </c>
      <c r="W17" s="51">
        <v>3.7864000000000002E-4</v>
      </c>
      <c r="X17" s="51">
        <v>1.7518499999999999E-3</v>
      </c>
      <c r="Y17" s="13">
        <v>0.820129</v>
      </c>
      <c r="Z17" s="54">
        <v>96048</v>
      </c>
      <c r="AA17" s="51">
        <v>6.4248400000000002E-3</v>
      </c>
      <c r="AB17" s="51">
        <v>2.8190699999999999E-3</v>
      </c>
      <c r="AC17" s="16">
        <v>1.85081E-2</v>
      </c>
      <c r="AD17" s="50">
        <v>114726</v>
      </c>
      <c r="AE17" s="51">
        <v>-5.3899000000000004E-4</v>
      </c>
      <c r="AF17" s="51">
        <v>2.6686000000000001E-3</v>
      </c>
      <c r="AG17" s="13">
        <v>0.99875199999999997</v>
      </c>
      <c r="AH17" s="54">
        <v>57855</v>
      </c>
      <c r="AI17" s="51">
        <v>5.5178500000000004E-3</v>
      </c>
      <c r="AJ17" s="51">
        <v>1.1557E-2</v>
      </c>
      <c r="AK17" s="16">
        <v>0.66194299999999995</v>
      </c>
      <c r="AL17" s="50" t="s">
        <v>312</v>
      </c>
      <c r="AM17" s="51" t="s">
        <v>312</v>
      </c>
      <c r="AN17" s="51" t="s">
        <v>312</v>
      </c>
      <c r="AO17" s="13" t="s">
        <v>312</v>
      </c>
      <c r="AP17" s="54" t="s">
        <v>312</v>
      </c>
      <c r="AQ17" s="51" t="s">
        <v>312</v>
      </c>
      <c r="AR17" s="51" t="s">
        <v>312</v>
      </c>
      <c r="AS17" s="16" t="s">
        <v>312</v>
      </c>
      <c r="AT17" s="50">
        <v>303487</v>
      </c>
      <c r="AU17" s="51">
        <v>-1.217E-2</v>
      </c>
      <c r="AV17" s="51">
        <v>3.522E-3</v>
      </c>
      <c r="AW17" s="13">
        <v>5.5179999999999997E-4</v>
      </c>
      <c r="AX17" s="54">
        <v>285068</v>
      </c>
      <c r="AY17" s="51">
        <v>-9.2735000000000005E-3</v>
      </c>
      <c r="AZ17" s="51">
        <v>3.6389999999999999E-3</v>
      </c>
      <c r="BA17" s="16">
        <v>1.0834E-2</v>
      </c>
      <c r="BB17" s="50">
        <v>293414</v>
      </c>
      <c r="BC17" s="51">
        <v>5.9446000000000004E-3</v>
      </c>
      <c r="BD17" s="51">
        <v>3.5869999999999999E-3</v>
      </c>
      <c r="BE17" s="13">
        <v>9.7487000000000004E-2</v>
      </c>
      <c r="BF17" s="54">
        <v>306811</v>
      </c>
      <c r="BG17" s="51">
        <v>-8.9212000000000007E-3</v>
      </c>
      <c r="BH17" s="51">
        <v>3.503E-3</v>
      </c>
      <c r="BI17" s="16">
        <v>1.0879E-2</v>
      </c>
      <c r="BJ17" s="50">
        <v>155557</v>
      </c>
      <c r="BK17" s="51">
        <v>9.5299999999999996E-2</v>
      </c>
      <c r="BL17" s="51">
        <v>5.1900000000000002E-2</v>
      </c>
      <c r="BM17" s="13">
        <v>6.6320000000000004E-2</v>
      </c>
      <c r="BN17" s="54">
        <v>155566</v>
      </c>
      <c r="BO17" s="51">
        <v>0.24759999999999999</v>
      </c>
      <c r="BP17" s="51">
        <v>8.7400000000000005E-2</v>
      </c>
      <c r="BQ17" s="13">
        <v>4.5979999999999997E-3</v>
      </c>
    </row>
    <row r="18" spans="1:69" x14ac:dyDescent="0.25">
      <c r="A18" s="1" t="s">
        <v>2020</v>
      </c>
      <c r="B18" s="1" t="s">
        <v>69</v>
      </c>
      <c r="C18" s="1">
        <v>4</v>
      </c>
      <c r="D18" s="1">
        <v>89668859</v>
      </c>
      <c r="E18" s="37" t="s">
        <v>919</v>
      </c>
      <c r="F18" s="654" t="s">
        <v>70</v>
      </c>
      <c r="G18" s="1" t="s">
        <v>17</v>
      </c>
      <c r="H18" s="1" t="s">
        <v>23</v>
      </c>
      <c r="I18" s="4">
        <v>0.81530000000000002</v>
      </c>
      <c r="J18" s="50">
        <v>458927</v>
      </c>
      <c r="K18" s="51">
        <v>2.3806500000000002E-3</v>
      </c>
      <c r="L18" s="51">
        <v>2.8278499999999998E-3</v>
      </c>
      <c r="M18" s="13">
        <v>0.39986723000000002</v>
      </c>
      <c r="N18" s="61">
        <v>526508</v>
      </c>
      <c r="O18" s="51">
        <v>-1.0996880000000001E-2</v>
      </c>
      <c r="P18" s="51">
        <v>2.59575E-3</v>
      </c>
      <c r="Q18" s="13">
        <v>2.27E-5</v>
      </c>
      <c r="R18" s="54">
        <v>69866.53</v>
      </c>
      <c r="S18" s="51">
        <v>3.5799999999999998E-2</v>
      </c>
      <c r="T18" s="51">
        <v>1.6799999999999999E-2</v>
      </c>
      <c r="U18" s="16">
        <v>0.10150000000000001</v>
      </c>
      <c r="V18" s="50">
        <v>144017</v>
      </c>
      <c r="W18" s="51">
        <v>-1.3607700000000001E-3</v>
      </c>
      <c r="X18" s="51">
        <v>1.61702E-3</v>
      </c>
      <c r="Y18" s="13">
        <v>0.43874600000000002</v>
      </c>
      <c r="Z18" s="54">
        <v>104114</v>
      </c>
      <c r="AA18" s="51">
        <v>2.5800799999999998E-3</v>
      </c>
      <c r="AB18" s="51">
        <v>2.60882E-3</v>
      </c>
      <c r="AC18" s="16">
        <v>0.37211</v>
      </c>
      <c r="AD18" s="50">
        <v>129631</v>
      </c>
      <c r="AE18" s="51">
        <v>-1.0170800000000001E-3</v>
      </c>
      <c r="AF18" s="51">
        <v>2.3992499999999999E-3</v>
      </c>
      <c r="AG18" s="13">
        <v>0.867865</v>
      </c>
      <c r="AH18" s="54">
        <v>57854</v>
      </c>
      <c r="AI18" s="51">
        <v>5.6587399999999998E-3</v>
      </c>
      <c r="AJ18" s="51">
        <v>1.1289E-2</v>
      </c>
      <c r="AK18" s="16">
        <v>0.65056499999999995</v>
      </c>
      <c r="AL18" s="50">
        <v>132943</v>
      </c>
      <c r="AM18" s="51">
        <v>-4.0000000000000001E-3</v>
      </c>
      <c r="AN18" s="51">
        <v>7.4999999999999997E-3</v>
      </c>
      <c r="AO18" s="13">
        <v>0.59219999999999995</v>
      </c>
      <c r="AP18" s="54">
        <v>69340.899999999994</v>
      </c>
      <c r="AQ18" s="51">
        <v>-1.46E-2</v>
      </c>
      <c r="AR18" s="51">
        <v>2.7799999999999998E-2</v>
      </c>
      <c r="AS18" s="16">
        <v>0.59889999999999999</v>
      </c>
      <c r="AT18" s="50">
        <v>316391</v>
      </c>
      <c r="AU18" s="51">
        <v>-9.8580000000000004E-3</v>
      </c>
      <c r="AV18" s="51">
        <v>3.2620000000000001E-3</v>
      </c>
      <c r="AW18" s="13">
        <v>2.5079E-3</v>
      </c>
      <c r="AX18" s="54">
        <v>295826</v>
      </c>
      <c r="AY18" s="51">
        <v>-8.2386000000000004E-3</v>
      </c>
      <c r="AZ18" s="51">
        <v>3.3730000000000001E-3</v>
      </c>
      <c r="BA18" s="16">
        <v>1.4589E-2</v>
      </c>
      <c r="BB18" s="50">
        <v>305699</v>
      </c>
      <c r="BC18" s="51">
        <v>5.2157999999999996E-3</v>
      </c>
      <c r="BD18" s="51">
        <v>3.3180000000000002E-3</v>
      </c>
      <c r="BE18" s="13">
        <v>0.115935</v>
      </c>
      <c r="BF18" s="54">
        <v>319677</v>
      </c>
      <c r="BG18" s="51">
        <v>-8.3085999999999993E-3</v>
      </c>
      <c r="BH18" s="51">
        <v>3.2450000000000001E-3</v>
      </c>
      <c r="BI18" s="16">
        <v>1.0442999999999999E-2</v>
      </c>
      <c r="BJ18" s="50">
        <v>187849</v>
      </c>
      <c r="BK18" s="51">
        <v>1.5599999999999999E-2</v>
      </c>
      <c r="BL18" s="51">
        <v>4.4999999999999998E-2</v>
      </c>
      <c r="BM18" s="13">
        <v>0.72850000000000004</v>
      </c>
      <c r="BN18" s="54">
        <v>187819</v>
      </c>
      <c r="BO18" s="51">
        <v>0.111</v>
      </c>
      <c r="BP18" s="51">
        <v>7.5399999999999995E-2</v>
      </c>
      <c r="BQ18" s="13">
        <v>0.14119999999999999</v>
      </c>
    </row>
    <row r="19" spans="1:69" x14ac:dyDescent="0.25">
      <c r="A19" s="1" t="s">
        <v>2021</v>
      </c>
      <c r="B19" s="1" t="s">
        <v>72</v>
      </c>
      <c r="C19" s="1">
        <v>4</v>
      </c>
      <c r="D19" s="1">
        <v>120528327</v>
      </c>
      <c r="E19" s="37" t="s">
        <v>73</v>
      </c>
      <c r="F19" s="654" t="s">
        <v>74</v>
      </c>
      <c r="G19" s="1" t="s">
        <v>24</v>
      </c>
      <c r="H19" s="1" t="s">
        <v>16</v>
      </c>
      <c r="I19" s="4">
        <v>0.18729999999999999</v>
      </c>
      <c r="J19" s="50">
        <v>435938</v>
      </c>
      <c r="K19" s="51">
        <v>3.3233899999999999E-3</v>
      </c>
      <c r="L19" s="51">
        <v>2.8359499999999998E-3</v>
      </c>
      <c r="M19" s="13">
        <v>0.24124524999999999</v>
      </c>
      <c r="N19" s="61">
        <v>502638</v>
      </c>
      <c r="O19" s="51">
        <v>-6.9679999999999997E-5</v>
      </c>
      <c r="P19" s="51">
        <v>2.6137999999999999E-3</v>
      </c>
      <c r="Q19" s="13">
        <v>0.97873206999999995</v>
      </c>
      <c r="R19" s="54">
        <v>43423.12</v>
      </c>
      <c r="S19" s="51">
        <v>5.0000000000000001E-4</v>
      </c>
      <c r="T19" s="51">
        <v>2.1299999999999999E-2</v>
      </c>
      <c r="U19" s="16">
        <v>0.8357</v>
      </c>
      <c r="V19" s="50">
        <v>129857</v>
      </c>
      <c r="W19" s="51">
        <v>2.2170800000000002E-3</v>
      </c>
      <c r="X19" s="51">
        <v>1.65138E-3</v>
      </c>
      <c r="Y19" s="13">
        <v>0.121561</v>
      </c>
      <c r="Z19" s="54">
        <v>88881</v>
      </c>
      <c r="AA19" s="51">
        <v>6.9899699999999999E-3</v>
      </c>
      <c r="AB19" s="51">
        <v>2.7194799999999998E-3</v>
      </c>
      <c r="AC19" s="16">
        <v>7.9503400000000002E-3</v>
      </c>
      <c r="AD19" s="50">
        <v>113661</v>
      </c>
      <c r="AE19" s="51">
        <v>5.3304800000000003E-3</v>
      </c>
      <c r="AF19" s="51">
        <v>2.4951800000000001E-3</v>
      </c>
      <c r="AG19" s="13">
        <v>5.4906400000000001E-2</v>
      </c>
      <c r="AH19" s="54">
        <v>51475</v>
      </c>
      <c r="AI19" s="51">
        <v>5.5472999999999998E-3</v>
      </c>
      <c r="AJ19" s="51">
        <v>1.1487300000000001E-2</v>
      </c>
      <c r="AK19" s="16">
        <v>0.63792000000000004</v>
      </c>
      <c r="AL19" s="50">
        <v>132965</v>
      </c>
      <c r="AM19" s="51">
        <v>-1.78E-2</v>
      </c>
      <c r="AN19" s="51">
        <v>7.4000000000000003E-3</v>
      </c>
      <c r="AO19" s="13">
        <v>1.6119999999999999E-2</v>
      </c>
      <c r="AP19" s="54">
        <v>69342.899999999994</v>
      </c>
      <c r="AQ19" s="51">
        <v>-1.4800000000000001E-2</v>
      </c>
      <c r="AR19" s="51">
        <v>2.69E-2</v>
      </c>
      <c r="AS19" s="16">
        <v>0.58309999999999995</v>
      </c>
      <c r="AT19" s="50">
        <v>308943</v>
      </c>
      <c r="AU19" s="51">
        <v>-4.542E-3</v>
      </c>
      <c r="AV19" s="51">
        <v>3.2650000000000001E-3</v>
      </c>
      <c r="AW19" s="13">
        <v>0.16422239999999999</v>
      </c>
      <c r="AX19" s="54">
        <v>288434</v>
      </c>
      <c r="AY19" s="51">
        <v>-5.6100000000000004E-3</v>
      </c>
      <c r="AZ19" s="51">
        <v>3.3800000000000002E-3</v>
      </c>
      <c r="BA19" s="16">
        <v>9.7000000000000003E-2</v>
      </c>
      <c r="BB19" s="50">
        <v>298241</v>
      </c>
      <c r="BC19" s="51">
        <v>-8.8029999999999998E-4</v>
      </c>
      <c r="BD19" s="51">
        <v>3.3300000000000001E-3</v>
      </c>
      <c r="BE19" s="13">
        <v>0.79149999999999998</v>
      </c>
      <c r="BF19" s="54">
        <v>312219</v>
      </c>
      <c r="BG19" s="51">
        <v>-6.875E-3</v>
      </c>
      <c r="BH19" s="51">
        <v>3.248E-3</v>
      </c>
      <c r="BI19" s="16">
        <v>3.4279999999999998E-2</v>
      </c>
      <c r="BJ19" s="50">
        <v>148294</v>
      </c>
      <c r="BK19" s="51">
        <v>-1.55E-2</v>
      </c>
      <c r="BL19" s="51">
        <v>4.9799999999999997E-2</v>
      </c>
      <c r="BM19" s="13">
        <v>0.75609999999999999</v>
      </c>
      <c r="BN19" s="54">
        <v>148269</v>
      </c>
      <c r="BO19" s="51">
        <v>-0.1457</v>
      </c>
      <c r="BP19" s="51">
        <v>8.4699999999999998E-2</v>
      </c>
      <c r="BQ19" s="13">
        <v>8.5309999999999997E-2</v>
      </c>
    </row>
    <row r="20" spans="1:69" x14ac:dyDescent="0.25">
      <c r="A20" s="1" t="s">
        <v>2022</v>
      </c>
      <c r="B20" s="1" t="s">
        <v>76</v>
      </c>
      <c r="C20" s="1">
        <v>5</v>
      </c>
      <c r="D20" s="1">
        <v>176516631</v>
      </c>
      <c r="E20" s="37" t="s">
        <v>77</v>
      </c>
      <c r="F20" s="654" t="s">
        <v>78</v>
      </c>
      <c r="G20" s="1" t="s">
        <v>16</v>
      </c>
      <c r="H20" s="1" t="s">
        <v>24</v>
      </c>
      <c r="I20" s="4">
        <v>0.23599999999999999</v>
      </c>
      <c r="J20" s="50">
        <v>437065</v>
      </c>
      <c r="K20" s="51">
        <v>4.52025E-2</v>
      </c>
      <c r="L20" s="51">
        <v>2.6928400000000002E-3</v>
      </c>
      <c r="M20" s="13">
        <v>2.0000000000000002E-5</v>
      </c>
      <c r="N20" s="61">
        <v>505512</v>
      </c>
      <c r="O20" s="51">
        <v>-8.5431499999999994E-3</v>
      </c>
      <c r="P20" s="51">
        <v>2.4542600000000002E-3</v>
      </c>
      <c r="Q20" s="13">
        <v>4.9965000000000003E-4</v>
      </c>
      <c r="R20" s="54">
        <v>69866.53</v>
      </c>
      <c r="S20" s="51">
        <v>-2.58E-2</v>
      </c>
      <c r="T20" s="51">
        <v>1.5100000000000001E-2</v>
      </c>
      <c r="U20" s="16">
        <v>6.411E-2</v>
      </c>
      <c r="V20" s="50">
        <v>138576</v>
      </c>
      <c r="W20" s="51">
        <v>-2.8202000000000001E-4</v>
      </c>
      <c r="X20" s="51">
        <v>1.4877600000000001E-3</v>
      </c>
      <c r="Y20" s="13">
        <v>0.71954399999999996</v>
      </c>
      <c r="Z20" s="54">
        <v>100740</v>
      </c>
      <c r="AA20" s="51">
        <v>8.3669599999999997E-3</v>
      </c>
      <c r="AB20" s="51">
        <v>2.5407899999999998E-3</v>
      </c>
      <c r="AC20" s="16">
        <v>1.0195099999999999E-3</v>
      </c>
      <c r="AD20" s="50">
        <v>126254</v>
      </c>
      <c r="AE20" s="51">
        <v>2.0294699999999998E-3</v>
      </c>
      <c r="AF20" s="51">
        <v>2.3076699999999999E-3</v>
      </c>
      <c r="AG20" s="13">
        <v>0.38348900000000002</v>
      </c>
      <c r="AH20" s="54">
        <v>57860</v>
      </c>
      <c r="AI20" s="51">
        <v>-1.3052700000000001E-3</v>
      </c>
      <c r="AJ20" s="51">
        <v>1.0351300000000001E-2</v>
      </c>
      <c r="AK20" s="16">
        <v>0.68956499999999998</v>
      </c>
      <c r="AL20" s="50">
        <v>79643</v>
      </c>
      <c r="AM20" s="51">
        <v>-2.0000000000000001E-4</v>
      </c>
      <c r="AN20" s="51">
        <v>8.9999999999999993E-3</v>
      </c>
      <c r="AO20" s="13">
        <v>0.97940000000000005</v>
      </c>
      <c r="AP20" s="54">
        <v>23731</v>
      </c>
      <c r="AQ20" s="51">
        <v>-3.09E-2</v>
      </c>
      <c r="AR20" s="51">
        <v>4.87E-2</v>
      </c>
      <c r="AS20" s="16">
        <v>0.52510000000000001</v>
      </c>
      <c r="AT20" s="50">
        <v>295475</v>
      </c>
      <c r="AU20" s="51">
        <v>-8.4414999999999994E-3</v>
      </c>
      <c r="AV20" s="51">
        <v>3.1649999999999998E-3</v>
      </c>
      <c r="AW20" s="13">
        <v>7.6579999999999999E-3</v>
      </c>
      <c r="AX20" s="54">
        <v>276356</v>
      </c>
      <c r="AY20" s="51">
        <v>4.9020000000000001E-3</v>
      </c>
      <c r="AZ20" s="51">
        <v>3.2820000000000002E-3</v>
      </c>
      <c r="BA20" s="16">
        <v>0.13519999999999999</v>
      </c>
      <c r="BB20" s="50">
        <v>284767</v>
      </c>
      <c r="BC20" s="51">
        <v>4.4729999999999998E-4</v>
      </c>
      <c r="BD20" s="51">
        <v>3.2299999999999998E-3</v>
      </c>
      <c r="BE20" s="13">
        <v>0.88990000000000002</v>
      </c>
      <c r="BF20" s="54">
        <v>298725</v>
      </c>
      <c r="BG20" s="51">
        <v>-1.807E-3</v>
      </c>
      <c r="BH20" s="51">
        <v>3.1489999999999999E-3</v>
      </c>
      <c r="BI20" s="16">
        <v>0.56599999999999995</v>
      </c>
      <c r="BJ20" s="50">
        <v>176562</v>
      </c>
      <c r="BK20" s="51">
        <v>3.4599999999999999E-2</v>
      </c>
      <c r="BL20" s="51">
        <v>4.2099999999999999E-2</v>
      </c>
      <c r="BM20" s="13">
        <v>0.41099999999999998</v>
      </c>
      <c r="BN20" s="54">
        <v>176527</v>
      </c>
      <c r="BO20" s="51">
        <v>3.0599999999999999E-2</v>
      </c>
      <c r="BP20" s="51">
        <v>7.0300000000000001E-2</v>
      </c>
      <c r="BQ20" s="13">
        <v>0.66300000000000003</v>
      </c>
    </row>
    <row r="21" spans="1:69" x14ac:dyDescent="0.25">
      <c r="A21" s="1" t="s">
        <v>2023</v>
      </c>
      <c r="B21" s="1" t="s">
        <v>81</v>
      </c>
      <c r="C21" s="1">
        <v>6</v>
      </c>
      <c r="D21" s="1">
        <v>7211818</v>
      </c>
      <c r="E21" s="37" t="s">
        <v>82</v>
      </c>
      <c r="F21" s="654" t="s">
        <v>83</v>
      </c>
      <c r="G21" s="1" t="s">
        <v>24</v>
      </c>
      <c r="H21" s="1" t="s">
        <v>16</v>
      </c>
      <c r="I21" s="4">
        <v>0.56489999999999996</v>
      </c>
      <c r="J21" s="50">
        <v>433651</v>
      </c>
      <c r="K21" s="51">
        <v>-1.330167E-2</v>
      </c>
      <c r="L21" s="51">
        <v>2.2782900000000001E-3</v>
      </c>
      <c r="M21" s="13">
        <v>2.0000000000000002E-5</v>
      </c>
      <c r="N21" s="61">
        <v>501135</v>
      </c>
      <c r="O21" s="51">
        <v>8.3628999999999995E-4</v>
      </c>
      <c r="P21" s="51">
        <v>2.08508E-3</v>
      </c>
      <c r="Q21" s="13">
        <v>0.68835994</v>
      </c>
      <c r="R21" s="54">
        <v>69866.53</v>
      </c>
      <c r="S21" s="51">
        <v>1.0800000000000001E-2</v>
      </c>
      <c r="T21" s="51">
        <v>1.2800000000000001E-2</v>
      </c>
      <c r="U21" s="16">
        <v>0.28470000000000001</v>
      </c>
      <c r="V21" s="50">
        <v>143982</v>
      </c>
      <c r="W21" s="51">
        <v>4.2092700000000002E-3</v>
      </c>
      <c r="X21" s="51">
        <v>1.26278E-3</v>
      </c>
      <c r="Y21" s="13">
        <v>2.7856199999999999E-3</v>
      </c>
      <c r="Z21" s="54">
        <v>104080</v>
      </c>
      <c r="AA21" s="51">
        <v>1.4622700000000001E-3</v>
      </c>
      <c r="AB21" s="51">
        <v>2.0826299999999998E-3</v>
      </c>
      <c r="AC21" s="16">
        <v>0.61224999999999996</v>
      </c>
      <c r="AD21" s="50">
        <v>129590</v>
      </c>
      <c r="AE21" s="51">
        <v>5.3927999999999997E-3</v>
      </c>
      <c r="AF21" s="51">
        <v>1.90653E-3</v>
      </c>
      <c r="AG21" s="13">
        <v>1.1582299999999999E-3</v>
      </c>
      <c r="AH21" s="54">
        <v>57820</v>
      </c>
      <c r="AI21" s="51">
        <v>-1.5894399999999999E-3</v>
      </c>
      <c r="AJ21" s="51">
        <v>8.8150799999999994E-3</v>
      </c>
      <c r="AK21" s="16">
        <v>0.91436700000000004</v>
      </c>
      <c r="AL21" s="50">
        <v>132977</v>
      </c>
      <c r="AM21" s="51">
        <v>1.4500000000000001E-2</v>
      </c>
      <c r="AN21" s="51">
        <v>5.7000000000000002E-3</v>
      </c>
      <c r="AO21" s="13">
        <v>1.175E-2</v>
      </c>
      <c r="AP21" s="54">
        <v>69354.8</v>
      </c>
      <c r="AQ21" s="51">
        <v>5.3600000000000002E-2</v>
      </c>
      <c r="AR21" s="51">
        <v>2.0400000000000001E-2</v>
      </c>
      <c r="AS21" s="16">
        <v>8.6060000000000008E-3</v>
      </c>
      <c r="AT21" s="50">
        <v>316391</v>
      </c>
      <c r="AU21" s="51">
        <v>-6.3429999999999997E-3</v>
      </c>
      <c r="AV21" s="51">
        <v>2.5799999999999998E-3</v>
      </c>
      <c r="AW21" s="13">
        <v>1.3932999999999999E-2</v>
      </c>
      <c r="AX21" s="54">
        <v>295826</v>
      </c>
      <c r="AY21" s="51">
        <v>1.8569999999999999E-3</v>
      </c>
      <c r="AZ21" s="51">
        <v>2.6679999999999998E-3</v>
      </c>
      <c r="BA21" s="16">
        <v>0.48627290000000001</v>
      </c>
      <c r="BB21" s="50">
        <v>305699</v>
      </c>
      <c r="BC21" s="51">
        <v>4.7898999999999997E-3</v>
      </c>
      <c r="BD21" s="51">
        <v>2.6250000000000002E-3</v>
      </c>
      <c r="BE21" s="13">
        <v>6.8000000000000005E-2</v>
      </c>
      <c r="BF21" s="54">
        <v>319677</v>
      </c>
      <c r="BG21" s="51">
        <v>2.4510000000000001E-3</v>
      </c>
      <c r="BH21" s="51">
        <v>2.5660000000000001E-3</v>
      </c>
      <c r="BI21" s="16">
        <v>0.339503</v>
      </c>
      <c r="BJ21" s="50">
        <v>187825</v>
      </c>
      <c r="BK21" s="51">
        <v>4.3900000000000002E-2</v>
      </c>
      <c r="BL21" s="51">
        <v>3.5000000000000003E-2</v>
      </c>
      <c r="BM21" s="13">
        <v>0.2092</v>
      </c>
      <c r="BN21" s="54">
        <v>187795</v>
      </c>
      <c r="BO21" s="51">
        <v>0.2117</v>
      </c>
      <c r="BP21" s="51">
        <v>5.8700000000000002E-2</v>
      </c>
      <c r="BQ21" s="13">
        <v>3.0899999999999998E-4</v>
      </c>
    </row>
    <row r="22" spans="1:69" x14ac:dyDescent="0.25">
      <c r="A22" s="1" t="s">
        <v>2024</v>
      </c>
      <c r="B22" s="1" t="s">
        <v>86</v>
      </c>
      <c r="C22" s="1">
        <v>6</v>
      </c>
      <c r="D22" s="1">
        <v>26108117</v>
      </c>
      <c r="E22" s="37" t="s">
        <v>87</v>
      </c>
      <c r="F22" s="888" t="s">
        <v>88</v>
      </c>
      <c r="G22" s="1" t="s">
        <v>23</v>
      </c>
      <c r="H22" s="1" t="s">
        <v>17</v>
      </c>
      <c r="I22" s="4">
        <v>1.4E-3</v>
      </c>
      <c r="J22" s="50">
        <v>343169</v>
      </c>
      <c r="K22" s="51">
        <v>-0.10605774</v>
      </c>
      <c r="L22" s="51">
        <v>3.7890840000000002E-2</v>
      </c>
      <c r="M22" s="13">
        <v>5.1255800000000002E-3</v>
      </c>
      <c r="N22" s="61">
        <v>379776</v>
      </c>
      <c r="O22" s="51">
        <v>-1.8222450000000001E-2</v>
      </c>
      <c r="P22" s="51">
        <v>3.8548010000000001E-2</v>
      </c>
      <c r="Q22" s="13">
        <v>0.63641230000000004</v>
      </c>
      <c r="R22" s="54" t="s">
        <v>312</v>
      </c>
      <c r="S22" s="51" t="s">
        <v>312</v>
      </c>
      <c r="T22" s="51" t="s">
        <v>312</v>
      </c>
      <c r="U22" s="16" t="s">
        <v>312</v>
      </c>
      <c r="V22" s="50">
        <v>75338</v>
      </c>
      <c r="W22" s="51">
        <v>-5.84871E-2</v>
      </c>
      <c r="X22" s="51">
        <v>0.111596</v>
      </c>
      <c r="Y22" s="13">
        <v>0.62086699999999995</v>
      </c>
      <c r="Z22" s="54">
        <v>34042</v>
      </c>
      <c r="AA22" s="51">
        <v>0.19825000000000001</v>
      </c>
      <c r="AB22" s="51">
        <v>0.283053</v>
      </c>
      <c r="AC22" s="16">
        <v>0.473134</v>
      </c>
      <c r="AD22" s="50">
        <v>49721</v>
      </c>
      <c r="AE22" s="51">
        <v>6.0568299999999999E-2</v>
      </c>
      <c r="AF22" s="51">
        <v>0.116193</v>
      </c>
      <c r="AG22" s="13">
        <v>0.69470100000000001</v>
      </c>
      <c r="AH22" s="54">
        <v>22688</v>
      </c>
      <c r="AI22" s="51">
        <v>0.33163199999999998</v>
      </c>
      <c r="AJ22" s="51">
        <v>0.394339</v>
      </c>
      <c r="AK22" s="16">
        <v>0.43189</v>
      </c>
      <c r="AL22" s="104">
        <v>76657</v>
      </c>
      <c r="AM22" s="51">
        <v>-0.187</v>
      </c>
      <c r="AN22" s="51">
        <v>0.13220000000000001</v>
      </c>
      <c r="AO22" s="13">
        <v>0.1573</v>
      </c>
      <c r="AP22" s="103">
        <v>39026</v>
      </c>
      <c r="AQ22" s="51">
        <v>-0.23050000000000001</v>
      </c>
      <c r="AR22" s="51">
        <v>0.67579999999999996</v>
      </c>
      <c r="AS22" s="16">
        <v>0.73299999999999998</v>
      </c>
      <c r="AT22" s="50">
        <v>182295</v>
      </c>
      <c r="AU22" s="51">
        <v>0.32740000000000002</v>
      </c>
      <c r="AV22" s="51">
        <v>0.12192699999999999</v>
      </c>
      <c r="AW22" s="13">
        <v>7.254E-3</v>
      </c>
      <c r="AX22" s="54">
        <v>171858</v>
      </c>
      <c r="AY22" s="51">
        <v>0.12951879999999999</v>
      </c>
      <c r="AZ22" s="51">
        <v>0.122805</v>
      </c>
      <c r="BA22" s="16">
        <v>0.29160000000000003</v>
      </c>
      <c r="BB22" s="50">
        <v>179928</v>
      </c>
      <c r="BC22" s="51">
        <v>-3.6078999999999998E-3</v>
      </c>
      <c r="BD22" s="51">
        <v>0.12288499999999999</v>
      </c>
      <c r="BE22" s="13">
        <v>0.97660000000000002</v>
      </c>
      <c r="BF22" s="54">
        <v>184587</v>
      </c>
      <c r="BG22" s="51">
        <v>0.21551120000000001</v>
      </c>
      <c r="BH22" s="51">
        <v>0.122624</v>
      </c>
      <c r="BI22" s="16">
        <v>7.8829999999999997E-2</v>
      </c>
      <c r="BJ22" s="50">
        <v>10389</v>
      </c>
      <c r="BK22" s="51">
        <v>1.1707000000000001</v>
      </c>
      <c r="BL22" s="51">
        <v>1.3458000000000001</v>
      </c>
      <c r="BM22" s="13">
        <v>0.38429999999999997</v>
      </c>
      <c r="BN22" s="54">
        <v>10389</v>
      </c>
      <c r="BO22" s="51">
        <v>3.2128000000000001</v>
      </c>
      <c r="BP22" s="51">
        <v>2.4300000000000002</v>
      </c>
      <c r="BQ22" s="13">
        <v>0.18609999999999999</v>
      </c>
    </row>
    <row r="23" spans="1:69" x14ac:dyDescent="0.25">
      <c r="A23" s="1" t="s">
        <v>2025</v>
      </c>
      <c r="B23" s="1" t="s">
        <v>90</v>
      </c>
      <c r="C23" s="1">
        <v>6</v>
      </c>
      <c r="D23" s="1">
        <v>34827085</v>
      </c>
      <c r="E23" s="37" t="s">
        <v>91</v>
      </c>
      <c r="F23" s="654" t="s">
        <v>92</v>
      </c>
      <c r="G23" s="1" t="s">
        <v>16</v>
      </c>
      <c r="H23" s="1" t="s">
        <v>23</v>
      </c>
      <c r="I23" s="4">
        <v>0.84709999999999996</v>
      </c>
      <c r="J23" s="50">
        <v>206280</v>
      </c>
      <c r="K23" s="51">
        <v>-3.2393449999999997E-2</v>
      </c>
      <c r="L23" s="51">
        <v>4.5955700000000002E-3</v>
      </c>
      <c r="M23" s="13">
        <v>2.0000000000000002E-5</v>
      </c>
      <c r="N23" s="61">
        <v>246643</v>
      </c>
      <c r="O23" s="51">
        <v>-2.0871580000000001E-2</v>
      </c>
      <c r="P23" s="51">
        <v>4.1004300000000004E-3</v>
      </c>
      <c r="Q23" s="13">
        <v>2.0000000000000002E-5</v>
      </c>
      <c r="R23" s="54">
        <v>33068.97</v>
      </c>
      <c r="S23" s="51">
        <v>-3.5999999999999999E-3</v>
      </c>
      <c r="T23" s="51">
        <v>2.5600000000000001E-2</v>
      </c>
      <c r="U23" s="16">
        <v>0.88229999999999997</v>
      </c>
      <c r="V23" s="50">
        <v>36978</v>
      </c>
      <c r="W23" s="51">
        <v>3.16797E-3</v>
      </c>
      <c r="X23" s="51">
        <v>3.1895000000000001E-3</v>
      </c>
      <c r="Y23" s="13">
        <v>0.30557200000000001</v>
      </c>
      <c r="Z23" s="54">
        <v>35013</v>
      </c>
      <c r="AA23" s="51">
        <v>2.5797400000000001E-3</v>
      </c>
      <c r="AB23" s="51">
        <v>4.6782200000000003E-3</v>
      </c>
      <c r="AC23" s="16">
        <v>0.55935299999999999</v>
      </c>
      <c r="AD23" s="50">
        <v>45632</v>
      </c>
      <c r="AE23" s="51">
        <v>1.97898E-3</v>
      </c>
      <c r="AF23" s="51">
        <v>4.14489E-3</v>
      </c>
      <c r="AG23" s="13">
        <v>0.64990700000000001</v>
      </c>
      <c r="AH23" s="54">
        <v>20025</v>
      </c>
      <c r="AI23" s="51">
        <v>5.06828E-2</v>
      </c>
      <c r="AJ23" s="51">
        <v>1.9153799999999999E-2</v>
      </c>
      <c r="AK23" s="16">
        <v>5.9420999999999996E-3</v>
      </c>
      <c r="AL23" s="50">
        <v>130209</v>
      </c>
      <c r="AM23" s="51">
        <v>-1.5699999999999999E-2</v>
      </c>
      <c r="AN23" s="51">
        <v>7.7000000000000002E-3</v>
      </c>
      <c r="AO23" s="13">
        <v>4.1840000000000002E-2</v>
      </c>
      <c r="AP23" s="54">
        <v>69334.8</v>
      </c>
      <c r="AQ23" s="51">
        <v>2.7400000000000001E-2</v>
      </c>
      <c r="AR23" s="51">
        <v>2.7300000000000001E-2</v>
      </c>
      <c r="AS23" s="16">
        <v>0.31609999999999999</v>
      </c>
      <c r="AT23" s="50">
        <v>171114</v>
      </c>
      <c r="AU23" s="51">
        <v>2.8667000000000002E-2</v>
      </c>
      <c r="AV23" s="51">
        <v>4.6319999999999998E-3</v>
      </c>
      <c r="AW23" s="13">
        <v>2.0000000000000002E-5</v>
      </c>
      <c r="AX23" s="54">
        <v>162462</v>
      </c>
      <c r="AY23" s="51">
        <v>8.9359000000000001E-3</v>
      </c>
      <c r="AZ23" s="51">
        <v>4.751E-3</v>
      </c>
      <c r="BA23" s="16">
        <v>6.0017500000000001E-2</v>
      </c>
      <c r="BB23" s="50">
        <v>167956</v>
      </c>
      <c r="BC23" s="51">
        <v>-7.6628E-3</v>
      </c>
      <c r="BD23" s="51">
        <v>4.6649999999999999E-3</v>
      </c>
      <c r="BE23" s="13">
        <v>0.10048600000000001</v>
      </c>
      <c r="BF23" s="54">
        <v>172287</v>
      </c>
      <c r="BG23" s="51">
        <v>1.52547E-2</v>
      </c>
      <c r="BH23" s="51">
        <v>4.6129999999999999E-3</v>
      </c>
      <c r="BI23" s="16">
        <v>9.4419999999999997E-4</v>
      </c>
      <c r="BJ23" s="50">
        <v>134808</v>
      </c>
      <c r="BK23" s="51">
        <v>1.0200000000000001E-2</v>
      </c>
      <c r="BL23" s="51">
        <v>5.5899999999999998E-2</v>
      </c>
      <c r="BM23" s="13">
        <v>0.85499999999999998</v>
      </c>
      <c r="BN23" s="54">
        <v>134818</v>
      </c>
      <c r="BO23" s="51">
        <v>0.1065</v>
      </c>
      <c r="BP23" s="51">
        <v>9.3299999999999994E-2</v>
      </c>
      <c r="BQ23" s="13">
        <v>0.254</v>
      </c>
    </row>
    <row r="24" spans="1:69" x14ac:dyDescent="0.25">
      <c r="A24" s="1" t="s">
        <v>2026</v>
      </c>
      <c r="B24" s="1" t="s">
        <v>95</v>
      </c>
      <c r="C24" s="1">
        <v>6</v>
      </c>
      <c r="D24" s="1">
        <v>127476516</v>
      </c>
      <c r="E24" s="37" t="s">
        <v>923</v>
      </c>
      <c r="F24" s="654" t="s">
        <v>96</v>
      </c>
      <c r="G24" s="1" t="s">
        <v>16</v>
      </c>
      <c r="H24" s="1" t="s">
        <v>24</v>
      </c>
      <c r="I24" s="4">
        <v>0.54290000000000005</v>
      </c>
      <c r="J24" s="50">
        <v>458253</v>
      </c>
      <c r="K24" s="51">
        <v>1.3184E-3</v>
      </c>
      <c r="L24" s="51">
        <v>2.2438699999999998E-3</v>
      </c>
      <c r="M24" s="13">
        <v>0.55683132000000002</v>
      </c>
      <c r="N24" s="61">
        <v>526508</v>
      </c>
      <c r="O24" s="51">
        <v>1.2535000000000001E-4</v>
      </c>
      <c r="P24" s="51">
        <v>2.0346600000000002E-3</v>
      </c>
      <c r="Q24" s="13">
        <v>0.95087480999999996</v>
      </c>
      <c r="R24" s="54">
        <v>59888.73</v>
      </c>
      <c r="S24" s="51">
        <v>2.0999999999999999E-3</v>
      </c>
      <c r="T24" s="51">
        <v>1.52E-2</v>
      </c>
      <c r="U24" s="16">
        <v>0.49790000000000001</v>
      </c>
      <c r="V24" s="50">
        <v>143516</v>
      </c>
      <c r="W24" s="51">
        <v>-1.1169400000000001E-3</v>
      </c>
      <c r="X24" s="51">
        <v>1.2707700000000001E-3</v>
      </c>
      <c r="Y24" s="13">
        <v>0.41788900000000001</v>
      </c>
      <c r="Z24" s="54">
        <v>103612</v>
      </c>
      <c r="AA24" s="51">
        <v>1.06158E-2</v>
      </c>
      <c r="AB24" s="51">
        <v>2.06587E-3</v>
      </c>
      <c r="AC24" s="16">
        <v>2.0000000000000002E-5</v>
      </c>
      <c r="AD24" s="50">
        <v>129129</v>
      </c>
      <c r="AE24" s="51">
        <v>8.1054E-4</v>
      </c>
      <c r="AF24" s="51">
        <v>1.89942E-3</v>
      </c>
      <c r="AG24" s="13">
        <v>0.67347400000000002</v>
      </c>
      <c r="AH24" s="54">
        <v>57357</v>
      </c>
      <c r="AI24" s="51">
        <v>1.34564E-2</v>
      </c>
      <c r="AJ24" s="51">
        <v>8.7946699999999992E-3</v>
      </c>
      <c r="AK24" s="16">
        <v>0.15942400000000001</v>
      </c>
      <c r="AL24" s="50">
        <v>130230</v>
      </c>
      <c r="AM24" s="51">
        <v>-1.9E-3</v>
      </c>
      <c r="AN24" s="51">
        <v>5.7000000000000002E-3</v>
      </c>
      <c r="AO24" s="13">
        <v>0.7349</v>
      </c>
      <c r="AP24" s="54">
        <v>69338.8</v>
      </c>
      <c r="AQ24" s="51">
        <v>1.4200000000000001E-2</v>
      </c>
      <c r="AR24" s="51">
        <v>2.0400000000000001E-2</v>
      </c>
      <c r="AS24" s="16">
        <v>0.4869</v>
      </c>
      <c r="AT24" s="50">
        <v>316391</v>
      </c>
      <c r="AU24" s="51">
        <v>-1.9345399999999999E-2</v>
      </c>
      <c r="AV24" s="51">
        <v>2.5500000000000002E-3</v>
      </c>
      <c r="AW24" s="13">
        <v>2.0000000000000002E-5</v>
      </c>
      <c r="AX24" s="54">
        <v>295826</v>
      </c>
      <c r="AY24" s="51">
        <v>3.5704999999999999E-3</v>
      </c>
      <c r="AZ24" s="51">
        <v>2.6389999999999999E-3</v>
      </c>
      <c r="BA24" s="16">
        <v>0.17611389999999999</v>
      </c>
      <c r="BB24" s="50">
        <v>305699</v>
      </c>
      <c r="BC24" s="51">
        <v>1.9197599999999999E-2</v>
      </c>
      <c r="BD24" s="51">
        <v>2.5929999999999998E-3</v>
      </c>
      <c r="BE24" s="13">
        <v>2.0000000000000002E-5</v>
      </c>
      <c r="BF24" s="54">
        <v>319677</v>
      </c>
      <c r="BG24" s="51">
        <v>3.8379999999999998E-3</v>
      </c>
      <c r="BH24" s="51">
        <v>2.5360000000000001E-3</v>
      </c>
      <c r="BI24" s="16">
        <v>0.13020000000000001</v>
      </c>
      <c r="BJ24" s="50">
        <v>185197</v>
      </c>
      <c r="BK24" s="51">
        <v>-1.8800000000000001E-2</v>
      </c>
      <c r="BL24" s="51">
        <v>3.5000000000000003E-2</v>
      </c>
      <c r="BM24" s="13">
        <v>0.59</v>
      </c>
      <c r="BN24" s="54">
        <v>185167</v>
      </c>
      <c r="BO24" s="51">
        <v>-3.5799999999999998E-2</v>
      </c>
      <c r="BP24" s="51">
        <v>5.8599999999999999E-2</v>
      </c>
      <c r="BQ24" s="13">
        <v>0.54200000000000004</v>
      </c>
    </row>
    <row r="25" spans="1:69" x14ac:dyDescent="0.25">
      <c r="A25" s="1" t="s">
        <v>2027</v>
      </c>
      <c r="B25" s="1" t="s">
        <v>99</v>
      </c>
      <c r="C25" s="1">
        <v>6</v>
      </c>
      <c r="D25" s="1">
        <v>127767954</v>
      </c>
      <c r="E25" s="37" t="s">
        <v>2028</v>
      </c>
      <c r="F25" s="654" t="s">
        <v>100</v>
      </c>
      <c r="G25" s="1" t="s">
        <v>16</v>
      </c>
      <c r="H25" s="1" t="s">
        <v>24</v>
      </c>
      <c r="I25" s="4">
        <v>9.7000000000000003E-3</v>
      </c>
      <c r="J25" s="50">
        <v>372130</v>
      </c>
      <c r="K25" s="51">
        <v>3.5926E-3</v>
      </c>
      <c r="L25" s="51">
        <v>1.1838110000000001E-2</v>
      </c>
      <c r="M25" s="13">
        <v>0.76152578000000004</v>
      </c>
      <c r="N25" s="61">
        <v>417852</v>
      </c>
      <c r="O25" s="51">
        <v>-1.9279859999999999E-2</v>
      </c>
      <c r="P25" s="51">
        <v>1.127922E-2</v>
      </c>
      <c r="Q25" s="13">
        <v>8.7390759999999998E-2</v>
      </c>
      <c r="R25" s="54">
        <v>46430.11</v>
      </c>
      <c r="S25" s="51">
        <v>0.1201</v>
      </c>
      <c r="T25" s="51">
        <v>8.2600000000000007E-2</v>
      </c>
      <c r="U25" s="16">
        <v>8.48E-2</v>
      </c>
      <c r="V25" s="50">
        <v>129447</v>
      </c>
      <c r="W25" s="51">
        <v>1.69188E-3</v>
      </c>
      <c r="X25" s="51">
        <v>6.2946699999999996E-3</v>
      </c>
      <c r="Y25" s="13">
        <v>0.38520700000000002</v>
      </c>
      <c r="Z25" s="54">
        <v>104050</v>
      </c>
      <c r="AA25" s="51">
        <v>3.2186699999999999E-2</v>
      </c>
      <c r="AB25" s="51">
        <v>1.1106899999999999E-2</v>
      </c>
      <c r="AC25" s="16">
        <v>2.4892199999999999E-3</v>
      </c>
      <c r="AD25" s="50">
        <v>129535</v>
      </c>
      <c r="AE25" s="51">
        <v>-1.1346500000000001E-3</v>
      </c>
      <c r="AF25" s="51">
        <v>9.5948100000000005E-3</v>
      </c>
      <c r="AG25" s="13">
        <v>0.957318</v>
      </c>
      <c r="AH25" s="54">
        <v>57830</v>
      </c>
      <c r="AI25" s="51">
        <v>1.2036699999999999E-2</v>
      </c>
      <c r="AJ25" s="51">
        <v>4.3641699999999999E-2</v>
      </c>
      <c r="AK25" s="16">
        <v>0.83037099999999997</v>
      </c>
      <c r="AL25" s="104">
        <v>76657</v>
      </c>
      <c r="AM25" s="51">
        <v>-2.76E-2</v>
      </c>
      <c r="AN25" s="51">
        <v>3.95E-2</v>
      </c>
      <c r="AO25" s="13">
        <v>0.4844</v>
      </c>
      <c r="AP25" s="103">
        <v>39026</v>
      </c>
      <c r="AQ25" s="51">
        <v>-0.12720000000000001</v>
      </c>
      <c r="AR25" s="51">
        <v>0.14779999999999999</v>
      </c>
      <c r="AS25" s="16">
        <v>0.38919999999999999</v>
      </c>
      <c r="AT25" s="50">
        <v>276884</v>
      </c>
      <c r="AU25" s="51">
        <v>-2.7782899999999999E-2</v>
      </c>
      <c r="AV25" s="51">
        <v>1.4161E-2</v>
      </c>
      <c r="AW25" s="13">
        <v>4.9770000000000002E-2</v>
      </c>
      <c r="AX25" s="54">
        <v>258147</v>
      </c>
      <c r="AY25" s="51">
        <v>5.6921000000000003E-3</v>
      </c>
      <c r="AZ25" s="51">
        <v>1.4722000000000001E-2</v>
      </c>
      <c r="BA25" s="16">
        <v>0.69901539999999995</v>
      </c>
      <c r="BB25" s="50">
        <v>265195</v>
      </c>
      <c r="BC25" s="51">
        <v>4.0387699999999999E-2</v>
      </c>
      <c r="BD25" s="51">
        <v>1.4514000000000001E-2</v>
      </c>
      <c r="BE25" s="13">
        <v>5.3899999999999998E-3</v>
      </c>
      <c r="BF25" s="54">
        <v>279138</v>
      </c>
      <c r="BG25" s="51">
        <v>2.6930000000000001E-3</v>
      </c>
      <c r="BH25" s="51">
        <v>1.4120000000000001E-2</v>
      </c>
      <c r="BI25" s="16">
        <v>0.8488</v>
      </c>
      <c r="BJ25" s="50">
        <v>173831</v>
      </c>
      <c r="BK25" s="51">
        <v>0.14219999999999999</v>
      </c>
      <c r="BL25" s="51">
        <v>0.17499999999999999</v>
      </c>
      <c r="BM25" s="13">
        <v>0.41710000000000003</v>
      </c>
      <c r="BN25" s="54">
        <v>173796</v>
      </c>
      <c r="BO25" s="51">
        <v>9.0200000000000002E-2</v>
      </c>
      <c r="BP25" s="51">
        <v>0.29099999999999998</v>
      </c>
      <c r="BQ25" s="13">
        <v>0.75649999999999995</v>
      </c>
    </row>
    <row r="26" spans="1:69" x14ac:dyDescent="0.25">
      <c r="A26" s="1" t="s">
        <v>2029</v>
      </c>
      <c r="B26" s="1" t="s">
        <v>102</v>
      </c>
      <c r="C26" s="1">
        <v>7</v>
      </c>
      <c r="D26" s="1">
        <v>6449496</v>
      </c>
      <c r="E26" s="37" t="s">
        <v>103</v>
      </c>
      <c r="F26" s="654" t="s">
        <v>104</v>
      </c>
      <c r="G26" s="1" t="s">
        <v>17</v>
      </c>
      <c r="H26" s="1" t="s">
        <v>23</v>
      </c>
      <c r="I26" s="4">
        <v>0.2205</v>
      </c>
      <c r="J26" s="50">
        <v>458927</v>
      </c>
      <c r="K26" s="51">
        <v>4.1236399999999996E-3</v>
      </c>
      <c r="L26" s="51">
        <v>2.6560400000000001E-3</v>
      </c>
      <c r="M26" s="13">
        <v>0.12053007</v>
      </c>
      <c r="N26" s="61">
        <v>526508</v>
      </c>
      <c r="O26" s="51">
        <v>2.2100499999999999E-3</v>
      </c>
      <c r="P26" s="51">
        <v>2.4395200000000001E-3</v>
      </c>
      <c r="Q26" s="13">
        <v>0.36496779000000001</v>
      </c>
      <c r="R26" s="54">
        <v>69865.789999999994</v>
      </c>
      <c r="S26" s="51">
        <v>-3.0999999999999999E-3</v>
      </c>
      <c r="T26" s="51">
        <v>1.5100000000000001E-2</v>
      </c>
      <c r="U26" s="16">
        <v>0.81110000000000004</v>
      </c>
      <c r="V26" s="50">
        <v>143898</v>
      </c>
      <c r="W26" s="51">
        <v>1.2993999999999999E-4</v>
      </c>
      <c r="X26" s="51">
        <v>1.4902800000000001E-3</v>
      </c>
      <c r="Y26" s="13">
        <v>0.93788199999999999</v>
      </c>
      <c r="Z26" s="54">
        <v>104062</v>
      </c>
      <c r="AA26" s="51">
        <v>-1.0746200000000001E-3</v>
      </c>
      <c r="AB26" s="51">
        <v>2.52009E-3</v>
      </c>
      <c r="AC26" s="16">
        <v>0.71817500000000001</v>
      </c>
      <c r="AD26" s="50">
        <v>129557</v>
      </c>
      <c r="AE26" s="51">
        <v>9.0729999999999994E-5</v>
      </c>
      <c r="AF26" s="51">
        <v>2.2961700000000002E-3</v>
      </c>
      <c r="AG26" s="13">
        <v>0.94355</v>
      </c>
      <c r="AH26" s="54">
        <v>57799</v>
      </c>
      <c r="AI26" s="51">
        <v>-3.8390799999999999E-3</v>
      </c>
      <c r="AJ26" s="51">
        <v>1.0540000000000001E-2</v>
      </c>
      <c r="AK26" s="16">
        <v>0.48002499999999998</v>
      </c>
      <c r="AL26" s="50">
        <v>132965</v>
      </c>
      <c r="AM26" s="51">
        <v>5.1999999999999998E-3</v>
      </c>
      <c r="AN26" s="51">
        <v>6.7000000000000002E-3</v>
      </c>
      <c r="AO26" s="13">
        <v>0.43859999999999999</v>
      </c>
      <c r="AP26" s="54">
        <v>69355.899999999994</v>
      </c>
      <c r="AQ26" s="51">
        <v>6.7400000000000002E-2</v>
      </c>
      <c r="AR26" s="51">
        <v>2.5899999999999999E-2</v>
      </c>
      <c r="AS26" s="16">
        <v>9.3740000000000004E-3</v>
      </c>
      <c r="AT26" s="50">
        <v>316391</v>
      </c>
      <c r="AU26" s="51">
        <v>2.4709999999999999E-2</v>
      </c>
      <c r="AV26" s="51">
        <v>3.1289999999999998E-3</v>
      </c>
      <c r="AW26" s="13">
        <v>2.0000000000000002E-5</v>
      </c>
      <c r="AX26" s="54">
        <v>295826</v>
      </c>
      <c r="AY26" s="51">
        <v>-1.5211999999999999E-3</v>
      </c>
      <c r="AZ26" s="51">
        <v>3.2469999999999999E-3</v>
      </c>
      <c r="BA26" s="16">
        <v>0.63941999999999999</v>
      </c>
      <c r="BB26" s="50">
        <v>305699</v>
      </c>
      <c r="BC26" s="51">
        <v>1.5380000000000001E-3</v>
      </c>
      <c r="BD26" s="51">
        <v>3.1930000000000001E-3</v>
      </c>
      <c r="BE26" s="13">
        <v>0.63002740000000002</v>
      </c>
      <c r="BF26" s="54">
        <v>319677</v>
      </c>
      <c r="BG26" s="51">
        <v>7.5230000000000002E-3</v>
      </c>
      <c r="BH26" s="51">
        <v>3.1129999999999999E-3</v>
      </c>
      <c r="BI26" s="16">
        <v>1.56723E-2</v>
      </c>
      <c r="BJ26" s="50">
        <v>187804</v>
      </c>
      <c r="BK26" s="51">
        <v>-4.6800000000000001E-2</v>
      </c>
      <c r="BL26" s="51">
        <v>4.19E-2</v>
      </c>
      <c r="BM26" s="13">
        <v>0.26400000000000001</v>
      </c>
      <c r="BN26" s="54">
        <v>187774</v>
      </c>
      <c r="BO26" s="51">
        <v>-0.1263</v>
      </c>
      <c r="BP26" s="51">
        <v>7.0099999999999996E-2</v>
      </c>
      <c r="BQ26" s="13">
        <v>7.1900000000000006E-2</v>
      </c>
    </row>
    <row r="27" spans="1:69" x14ac:dyDescent="0.25">
      <c r="A27" s="1" t="s">
        <v>2030</v>
      </c>
      <c r="B27" s="1" t="s">
        <v>106</v>
      </c>
      <c r="C27" s="1">
        <v>7</v>
      </c>
      <c r="D27" s="1">
        <v>73012042</v>
      </c>
      <c r="E27" s="37" t="s">
        <v>107</v>
      </c>
      <c r="F27" s="654" t="s">
        <v>108</v>
      </c>
      <c r="G27" s="1" t="s">
        <v>24</v>
      </c>
      <c r="H27" s="1" t="s">
        <v>16</v>
      </c>
      <c r="I27" s="4">
        <v>0.87970000000000004</v>
      </c>
      <c r="J27" s="50">
        <v>433651</v>
      </c>
      <c r="K27" s="51">
        <v>-1.2582060000000001E-2</v>
      </c>
      <c r="L27" s="51">
        <v>3.6763099999999999E-3</v>
      </c>
      <c r="M27" s="13">
        <v>6.2054000000000005E-4</v>
      </c>
      <c r="N27" s="61">
        <v>501135</v>
      </c>
      <c r="O27" s="51">
        <v>-4.2329999999999998E-3</v>
      </c>
      <c r="P27" s="51">
        <v>3.2909800000000002E-3</v>
      </c>
      <c r="Q27" s="13">
        <v>0.19835786999999999</v>
      </c>
      <c r="R27" s="54">
        <v>56409.02</v>
      </c>
      <c r="S27" s="51">
        <v>-4.3799999999999999E-2</v>
      </c>
      <c r="T27" s="51">
        <v>2.0400000000000001E-2</v>
      </c>
      <c r="U27" s="16">
        <v>1.8100000000000002E-2</v>
      </c>
      <c r="V27" s="50">
        <v>144042</v>
      </c>
      <c r="W27" s="51">
        <v>-1.08629E-2</v>
      </c>
      <c r="X27" s="51">
        <v>2.02462E-3</v>
      </c>
      <c r="Y27" s="13">
        <v>2.0000000000000002E-5</v>
      </c>
      <c r="Z27" s="54">
        <v>104113</v>
      </c>
      <c r="AA27" s="51">
        <v>-2.4422599999999999E-3</v>
      </c>
      <c r="AB27" s="51">
        <v>3.2052600000000001E-3</v>
      </c>
      <c r="AC27" s="16">
        <v>0.31877100000000003</v>
      </c>
      <c r="AD27" s="50">
        <v>129623</v>
      </c>
      <c r="AE27" s="51">
        <v>-7.2461399999999999E-3</v>
      </c>
      <c r="AF27" s="51">
        <v>2.96634E-3</v>
      </c>
      <c r="AG27" s="13">
        <v>6.7066699999999996E-3</v>
      </c>
      <c r="AH27" s="54">
        <v>57870</v>
      </c>
      <c r="AI27" s="51">
        <v>-3.5300900000000003E-2</v>
      </c>
      <c r="AJ27" s="51">
        <v>1.3506799999999999E-2</v>
      </c>
      <c r="AK27" s="16">
        <v>4.3393599999999996E-3</v>
      </c>
      <c r="AL27" s="50" t="s">
        <v>312</v>
      </c>
      <c r="AM27" s="51" t="s">
        <v>312</v>
      </c>
      <c r="AN27" s="51" t="s">
        <v>312</v>
      </c>
      <c r="AO27" s="13" t="s">
        <v>312</v>
      </c>
      <c r="AP27" s="54" t="s">
        <v>312</v>
      </c>
      <c r="AQ27" s="51" t="s">
        <v>312</v>
      </c>
      <c r="AR27" s="51" t="s">
        <v>312</v>
      </c>
      <c r="AS27" s="16" t="s">
        <v>312</v>
      </c>
      <c r="AT27" s="50">
        <v>316391</v>
      </c>
      <c r="AU27" s="51">
        <v>-4.19818E-2</v>
      </c>
      <c r="AV27" s="51">
        <v>3.9839999999999997E-3</v>
      </c>
      <c r="AW27" s="13">
        <v>2.0000000000000002E-5</v>
      </c>
      <c r="AX27" s="54">
        <v>295826</v>
      </c>
      <c r="AY27" s="51">
        <v>-1.43797E-2</v>
      </c>
      <c r="AZ27" s="51">
        <v>4.1209999999999997E-3</v>
      </c>
      <c r="BA27" s="16">
        <v>4.839E-4</v>
      </c>
      <c r="BB27" s="50">
        <v>305699</v>
      </c>
      <c r="BC27" s="51">
        <v>0.1240414</v>
      </c>
      <c r="BD27" s="51">
        <v>4.0600000000000002E-3</v>
      </c>
      <c r="BE27" s="13">
        <v>2.0000000000000002E-5</v>
      </c>
      <c r="BF27" s="54">
        <v>319677</v>
      </c>
      <c r="BG27" s="51">
        <v>1.1650000000000001E-2</v>
      </c>
      <c r="BH27" s="51">
        <v>3.96E-3</v>
      </c>
      <c r="BI27" s="16">
        <v>3.2534999999999999E-3</v>
      </c>
      <c r="BJ27" s="50">
        <v>187823</v>
      </c>
      <c r="BK27" s="51">
        <v>0.13239999999999999</v>
      </c>
      <c r="BL27" s="51">
        <v>4.82E-2</v>
      </c>
      <c r="BM27" s="13">
        <v>6.0210000000000003E-3</v>
      </c>
      <c r="BN27" s="54">
        <v>187793</v>
      </c>
      <c r="BO27" s="51">
        <v>0.1888</v>
      </c>
      <c r="BP27" s="51">
        <v>8.8499999999999995E-2</v>
      </c>
      <c r="BQ27" s="13">
        <v>3.295E-2</v>
      </c>
    </row>
    <row r="28" spans="1:69" x14ac:dyDescent="0.25">
      <c r="A28" s="1" t="s">
        <v>2031</v>
      </c>
      <c r="B28" s="1" t="s">
        <v>111</v>
      </c>
      <c r="C28" s="1">
        <v>7</v>
      </c>
      <c r="D28" s="1">
        <v>73020337</v>
      </c>
      <c r="E28" s="37" t="s">
        <v>107</v>
      </c>
      <c r="F28" s="654" t="s">
        <v>112</v>
      </c>
      <c r="G28" s="1" t="s">
        <v>17</v>
      </c>
      <c r="H28" s="1" t="s">
        <v>24</v>
      </c>
      <c r="I28" s="4">
        <v>0.88119999999999998</v>
      </c>
      <c r="J28" s="50">
        <v>404479</v>
      </c>
      <c r="K28" s="51">
        <v>-1.3409819999999999E-2</v>
      </c>
      <c r="L28" s="51">
        <v>3.87047E-3</v>
      </c>
      <c r="M28" s="13">
        <v>5.3092999999999999E-4</v>
      </c>
      <c r="N28" s="61">
        <v>476308</v>
      </c>
      <c r="O28" s="51">
        <v>-6.01609E-3</v>
      </c>
      <c r="P28" s="51">
        <v>3.42304E-3</v>
      </c>
      <c r="Q28" s="13">
        <v>7.8827900000000006E-2</v>
      </c>
      <c r="R28" s="54">
        <v>51482.44</v>
      </c>
      <c r="S28" s="51">
        <v>-2.8199999999999999E-2</v>
      </c>
      <c r="T28" s="51">
        <v>2.1499999999999998E-2</v>
      </c>
      <c r="U28" s="16">
        <v>0.1114</v>
      </c>
      <c r="V28" s="50">
        <v>108605</v>
      </c>
      <c r="W28" s="51">
        <v>-1.20375E-2</v>
      </c>
      <c r="X28" s="51">
        <v>2.3866400000000002E-3</v>
      </c>
      <c r="Y28" s="13">
        <v>2.0000000000000002E-5</v>
      </c>
      <c r="Z28" s="54">
        <v>83310</v>
      </c>
      <c r="AA28" s="51">
        <v>-1.1272E-4</v>
      </c>
      <c r="AB28" s="51">
        <v>3.54105E-3</v>
      </c>
      <c r="AC28" s="16">
        <v>0.88565300000000002</v>
      </c>
      <c r="AD28" s="50">
        <v>108083</v>
      </c>
      <c r="AE28" s="51">
        <v>-4.8969800000000004E-3</v>
      </c>
      <c r="AF28" s="51">
        <v>3.29241E-3</v>
      </c>
      <c r="AG28" s="13">
        <v>8.6963799999999994E-2</v>
      </c>
      <c r="AH28" s="54">
        <v>51429</v>
      </c>
      <c r="AI28" s="51">
        <v>-3.9762899999999997E-2</v>
      </c>
      <c r="AJ28" s="51">
        <v>1.44633E-2</v>
      </c>
      <c r="AK28" s="16">
        <v>2.66234E-3</v>
      </c>
      <c r="AL28" s="50" t="s">
        <v>312</v>
      </c>
      <c r="AM28" s="51" t="s">
        <v>312</v>
      </c>
      <c r="AN28" s="51" t="s">
        <v>312</v>
      </c>
      <c r="AO28" s="13" t="s">
        <v>312</v>
      </c>
      <c r="AP28" s="54" t="s">
        <v>312</v>
      </c>
      <c r="AQ28" s="51" t="s">
        <v>312</v>
      </c>
      <c r="AR28" s="51" t="s">
        <v>312</v>
      </c>
      <c r="AS28" s="16" t="s">
        <v>312</v>
      </c>
      <c r="AT28" s="50">
        <v>307442</v>
      </c>
      <c r="AU28" s="51">
        <v>-4.1756000000000001E-2</v>
      </c>
      <c r="AV28" s="51">
        <v>4.0689999999999997E-3</v>
      </c>
      <c r="AW28" s="13">
        <v>2.0000000000000002E-5</v>
      </c>
      <c r="AX28" s="54">
        <v>286898</v>
      </c>
      <c r="AY28" s="51">
        <v>-1.3865499999999999E-2</v>
      </c>
      <c r="AZ28" s="51">
        <v>4.2180000000000004E-3</v>
      </c>
      <c r="BA28" s="16">
        <v>1.0127000000000001E-3</v>
      </c>
      <c r="BB28" s="50">
        <v>296724</v>
      </c>
      <c r="BC28" s="51">
        <v>0.1264034</v>
      </c>
      <c r="BD28" s="51">
        <v>4.1510000000000002E-3</v>
      </c>
      <c r="BE28" s="13">
        <v>2.0000000000000002E-5</v>
      </c>
      <c r="BF28" s="54">
        <v>310717</v>
      </c>
      <c r="BG28" s="51">
        <v>1.393E-2</v>
      </c>
      <c r="BH28" s="51">
        <v>4.0439999999999999E-3</v>
      </c>
      <c r="BI28" s="16">
        <v>5.7339999999999995E-4</v>
      </c>
      <c r="BJ28" s="50">
        <v>145450</v>
      </c>
      <c r="BK28" s="51">
        <v>0.18479999999999999</v>
      </c>
      <c r="BL28" s="51">
        <v>6.0600000000000001E-2</v>
      </c>
      <c r="BM28" s="13">
        <v>2.2920000000000002E-3</v>
      </c>
      <c r="BN28" s="54">
        <v>145464</v>
      </c>
      <c r="BO28" s="51">
        <v>0.18959999999999999</v>
      </c>
      <c r="BP28" s="51">
        <v>0.1023</v>
      </c>
      <c r="BQ28" s="13">
        <v>6.3869999999999996E-2</v>
      </c>
    </row>
    <row r="29" spans="1:69" x14ac:dyDescent="0.25">
      <c r="A29" s="1" t="s">
        <v>2032</v>
      </c>
      <c r="B29" s="1" t="s">
        <v>114</v>
      </c>
      <c r="C29" s="1">
        <v>10</v>
      </c>
      <c r="D29" s="1">
        <v>95931087</v>
      </c>
      <c r="E29" s="37" t="s">
        <v>115</v>
      </c>
      <c r="F29" s="654" t="s">
        <v>116</v>
      </c>
      <c r="G29" s="1" t="s">
        <v>23</v>
      </c>
      <c r="H29" s="1" t="s">
        <v>24</v>
      </c>
      <c r="I29" s="4">
        <v>0.17299999999999999</v>
      </c>
      <c r="J29" s="50">
        <v>458927</v>
      </c>
      <c r="K29" s="51">
        <v>-3.5369199999999998E-3</v>
      </c>
      <c r="L29" s="51">
        <v>2.87937E-3</v>
      </c>
      <c r="M29" s="13">
        <v>0.21930879</v>
      </c>
      <c r="N29" s="61">
        <v>526508</v>
      </c>
      <c r="O29" s="51">
        <v>-1.38346E-3</v>
      </c>
      <c r="P29" s="51">
        <v>2.6555099999999998E-3</v>
      </c>
      <c r="Q29" s="13">
        <v>0.60238190000000003</v>
      </c>
      <c r="R29" s="54">
        <v>69866.53</v>
      </c>
      <c r="S29" s="51">
        <v>3.1699999999999999E-2</v>
      </c>
      <c r="T29" s="51">
        <v>1.78E-2</v>
      </c>
      <c r="U29" s="16">
        <v>0.11070000000000001</v>
      </c>
      <c r="V29" s="50">
        <v>143991</v>
      </c>
      <c r="W29" s="51">
        <v>1.8840899999999999E-3</v>
      </c>
      <c r="X29" s="51">
        <v>1.6471599999999999E-3</v>
      </c>
      <c r="Y29" s="13">
        <v>0.74700100000000003</v>
      </c>
      <c r="Z29" s="54">
        <v>104106</v>
      </c>
      <c r="AA29" s="51">
        <v>-6.2016999999999997E-4</v>
      </c>
      <c r="AB29" s="51">
        <v>2.7756600000000001E-3</v>
      </c>
      <c r="AC29" s="16">
        <v>0.64459200000000005</v>
      </c>
      <c r="AD29" s="50">
        <v>129628</v>
      </c>
      <c r="AE29" s="51">
        <v>-6.1943000000000002E-4</v>
      </c>
      <c r="AF29" s="51">
        <v>2.5327700000000002E-3</v>
      </c>
      <c r="AG29" s="13">
        <v>0.92470600000000003</v>
      </c>
      <c r="AH29" s="54">
        <v>57858</v>
      </c>
      <c r="AI29" s="51">
        <v>2.5530400000000002E-2</v>
      </c>
      <c r="AJ29" s="51">
        <v>1.20787E-2</v>
      </c>
      <c r="AK29" s="16">
        <v>5.7488600000000001E-2</v>
      </c>
      <c r="AL29" s="50">
        <v>122723</v>
      </c>
      <c r="AM29" s="51">
        <v>1.12E-2</v>
      </c>
      <c r="AN29" s="51">
        <v>8.0000000000000002E-3</v>
      </c>
      <c r="AO29" s="13">
        <v>0.16070000000000001</v>
      </c>
      <c r="AP29" s="54">
        <v>67822.899999999994</v>
      </c>
      <c r="AQ29" s="51">
        <v>3.0000000000000001E-3</v>
      </c>
      <c r="AR29" s="51">
        <v>2.75E-2</v>
      </c>
      <c r="AS29" s="16">
        <v>0.91220000000000001</v>
      </c>
      <c r="AT29" s="50">
        <v>316391</v>
      </c>
      <c r="AU29" s="51">
        <v>-8.9139999999999998E-4</v>
      </c>
      <c r="AV29" s="51">
        <v>3.3479999999999998E-3</v>
      </c>
      <c r="AW29" s="13">
        <v>0.79003800000000002</v>
      </c>
      <c r="AX29" s="54">
        <v>295826</v>
      </c>
      <c r="AY29" s="51">
        <v>-5.4860000000000004E-3</v>
      </c>
      <c r="AZ29" s="51">
        <v>3.4629999999999999E-3</v>
      </c>
      <c r="BA29" s="16">
        <v>0.11310000000000001</v>
      </c>
      <c r="BB29" s="50">
        <v>305699</v>
      </c>
      <c r="BC29" s="51">
        <v>1.8649999999999999E-3</v>
      </c>
      <c r="BD29" s="51">
        <v>3.4009999999999999E-3</v>
      </c>
      <c r="BE29" s="13">
        <v>0.58342729999999998</v>
      </c>
      <c r="BF29" s="54">
        <v>319677</v>
      </c>
      <c r="BG29" s="51">
        <v>-4.5291000000000003E-3</v>
      </c>
      <c r="BH29" s="51">
        <v>3.333E-3</v>
      </c>
      <c r="BI29" s="16">
        <v>0.17419999999999999</v>
      </c>
      <c r="BJ29" s="50">
        <v>187771</v>
      </c>
      <c r="BK29" s="51">
        <v>-0.1166</v>
      </c>
      <c r="BL29" s="51">
        <v>4.6300000000000001E-2</v>
      </c>
      <c r="BM29" s="13">
        <v>1.171E-2</v>
      </c>
      <c r="BN29" s="54">
        <v>187741</v>
      </c>
      <c r="BO29" s="51">
        <v>-0.13750000000000001</v>
      </c>
      <c r="BP29" s="51">
        <v>7.7700000000000005E-2</v>
      </c>
      <c r="BQ29" s="13">
        <v>7.6850000000000002E-2</v>
      </c>
    </row>
    <row r="30" spans="1:69" x14ac:dyDescent="0.25">
      <c r="A30" s="1" t="s">
        <v>2033</v>
      </c>
      <c r="B30" s="1" t="s">
        <v>119</v>
      </c>
      <c r="C30" s="1">
        <v>10</v>
      </c>
      <c r="D30" s="1">
        <v>123279643</v>
      </c>
      <c r="E30" s="37" t="s">
        <v>120</v>
      </c>
      <c r="F30" s="2" t="s">
        <v>96</v>
      </c>
      <c r="G30" s="1" t="s">
        <v>23</v>
      </c>
      <c r="H30" s="1" t="s">
        <v>17</v>
      </c>
      <c r="I30" s="4">
        <v>8.9999999999999998E-4</v>
      </c>
      <c r="J30" s="50">
        <v>361781</v>
      </c>
      <c r="K30" s="51">
        <v>-5.3160569999999997E-2</v>
      </c>
      <c r="L30" s="51">
        <v>4.65215E-2</v>
      </c>
      <c r="M30" s="13">
        <v>0.25315912000000002</v>
      </c>
      <c r="N30" s="61">
        <v>399072</v>
      </c>
      <c r="O30" s="51">
        <v>6.1625069999999997E-2</v>
      </c>
      <c r="P30" s="51">
        <v>4.7159369999999999E-2</v>
      </c>
      <c r="Q30" s="13">
        <v>0.19130078</v>
      </c>
      <c r="R30" s="54" t="s">
        <v>312</v>
      </c>
      <c r="S30" s="51" t="s">
        <v>312</v>
      </c>
      <c r="T30" s="51" t="s">
        <v>312</v>
      </c>
      <c r="U30" s="16" t="s">
        <v>312</v>
      </c>
      <c r="V30" s="50">
        <v>79584</v>
      </c>
      <c r="W30" s="51">
        <v>0.124283</v>
      </c>
      <c r="X30" s="51">
        <v>0.159579</v>
      </c>
      <c r="Y30" s="13">
        <v>0.479964</v>
      </c>
      <c r="Z30" s="54">
        <v>38839</v>
      </c>
      <c r="AA30" s="51">
        <v>0.17164599999999999</v>
      </c>
      <c r="AB30" s="51">
        <v>0.29666700000000001</v>
      </c>
      <c r="AC30" s="16">
        <v>0.66225400000000001</v>
      </c>
      <c r="AD30" s="50">
        <v>54516</v>
      </c>
      <c r="AE30" s="51">
        <v>0.111638</v>
      </c>
      <c r="AF30" s="51">
        <v>0.173181</v>
      </c>
      <c r="AG30" s="13">
        <v>0.35584100000000002</v>
      </c>
      <c r="AH30" s="54">
        <v>22652</v>
      </c>
      <c r="AI30" s="51">
        <v>0.81023000000000001</v>
      </c>
      <c r="AJ30" s="51">
        <v>0.76910199999999995</v>
      </c>
      <c r="AK30" s="16">
        <v>0.33300400000000002</v>
      </c>
      <c r="AL30" s="104">
        <v>76657</v>
      </c>
      <c r="AM30" s="51">
        <v>-0.11509999999999999</v>
      </c>
      <c r="AN30" s="51">
        <v>0.17810000000000001</v>
      </c>
      <c r="AO30" s="13">
        <v>0.51819999999999999</v>
      </c>
      <c r="AP30" s="103">
        <v>39026</v>
      </c>
      <c r="AQ30" s="51">
        <v>-0.57040000000000002</v>
      </c>
      <c r="AR30" s="51">
        <v>0.84419999999999995</v>
      </c>
      <c r="AS30" s="16">
        <v>0.49930000000000002</v>
      </c>
      <c r="AT30" s="50">
        <v>217970</v>
      </c>
      <c r="AU30" s="51">
        <v>5.1064600000000002E-2</v>
      </c>
      <c r="AV30" s="51">
        <v>0.103994</v>
      </c>
      <c r="AW30" s="13">
        <v>0.62339999999999995</v>
      </c>
      <c r="AX30" s="54">
        <v>206463</v>
      </c>
      <c r="AY30" s="51">
        <v>-7.4370000000000006E-2</v>
      </c>
      <c r="AZ30" s="51">
        <v>0.106366</v>
      </c>
      <c r="BA30" s="16">
        <v>0.48441519999999999</v>
      </c>
      <c r="BB30" s="50">
        <v>214750</v>
      </c>
      <c r="BC30" s="51">
        <v>-0.12597720000000001</v>
      </c>
      <c r="BD30" s="51">
        <v>0.103546</v>
      </c>
      <c r="BE30" s="13">
        <v>0.223743</v>
      </c>
      <c r="BF30" s="54">
        <v>220409</v>
      </c>
      <c r="BG30" s="51">
        <v>-7.8198500000000004E-2</v>
      </c>
      <c r="BH30" s="51">
        <v>0.102939</v>
      </c>
      <c r="BI30" s="16">
        <v>0.44750000000000001</v>
      </c>
      <c r="BJ30" s="50">
        <v>22291</v>
      </c>
      <c r="BK30" s="51">
        <v>3.2484000000000002</v>
      </c>
      <c r="BL30" s="51">
        <v>2.0482</v>
      </c>
      <c r="BM30" s="13">
        <v>0.11269999999999999</v>
      </c>
      <c r="BN30" s="54">
        <v>22293</v>
      </c>
      <c r="BO30" s="51">
        <v>6.782</v>
      </c>
      <c r="BP30" s="51">
        <v>3.6985000000000001</v>
      </c>
      <c r="BQ30" s="13">
        <v>6.6699999999999995E-2</v>
      </c>
    </row>
    <row r="31" spans="1:69" x14ac:dyDescent="0.25">
      <c r="A31" s="1" t="s">
        <v>2034</v>
      </c>
      <c r="B31" s="1" t="s">
        <v>122</v>
      </c>
      <c r="C31" s="1">
        <v>11</v>
      </c>
      <c r="D31" s="1">
        <v>64031241</v>
      </c>
      <c r="E31" s="37" t="s">
        <v>123</v>
      </c>
      <c r="F31" s="654" t="s">
        <v>124</v>
      </c>
      <c r="G31" s="1" t="s">
        <v>23</v>
      </c>
      <c r="H31" s="1" t="s">
        <v>17</v>
      </c>
      <c r="I31" s="4">
        <v>6.08E-2</v>
      </c>
      <c r="J31" s="50">
        <v>457165</v>
      </c>
      <c r="K31" s="51">
        <v>4.3865400000000004E-3</v>
      </c>
      <c r="L31" s="51">
        <v>4.6263500000000004E-3</v>
      </c>
      <c r="M31" s="13">
        <v>0.34304606999999998</v>
      </c>
      <c r="N31" s="61">
        <v>524754</v>
      </c>
      <c r="O31" s="51">
        <v>-1.7680379999999999E-2</v>
      </c>
      <c r="P31" s="51">
        <v>4.2336700000000001E-3</v>
      </c>
      <c r="Q31" s="13">
        <v>2.9649999999999999E-5</v>
      </c>
      <c r="R31" s="54">
        <v>69866.53</v>
      </c>
      <c r="S31" s="51">
        <v>6.3500000000000001E-2</v>
      </c>
      <c r="T31" s="51">
        <v>2.4E-2</v>
      </c>
      <c r="U31" s="16">
        <v>3.8119999999999999E-3</v>
      </c>
      <c r="V31" s="50">
        <v>144042</v>
      </c>
      <c r="W31" s="51">
        <v>9.9131500000000008E-3</v>
      </c>
      <c r="X31" s="51">
        <v>2.6089799999999999E-3</v>
      </c>
      <c r="Y31" s="13">
        <v>1.2197999999999999E-4</v>
      </c>
      <c r="Z31" s="54">
        <v>100569</v>
      </c>
      <c r="AA31" s="51">
        <v>1.89356E-2</v>
      </c>
      <c r="AB31" s="51">
        <v>4.3306200000000003E-3</v>
      </c>
      <c r="AC31" s="16">
        <v>2.0000000000000002E-5</v>
      </c>
      <c r="AD31" s="50">
        <v>126076</v>
      </c>
      <c r="AE31" s="51">
        <v>3.4697E-3</v>
      </c>
      <c r="AF31" s="51">
        <v>3.8962100000000002E-3</v>
      </c>
      <c r="AG31" s="13">
        <v>0.44755099999999998</v>
      </c>
      <c r="AH31" s="54">
        <v>54732</v>
      </c>
      <c r="AI31" s="51">
        <v>7.6630599999999993E-2</v>
      </c>
      <c r="AJ31" s="51">
        <v>1.7219700000000001E-2</v>
      </c>
      <c r="AK31" s="16">
        <v>2.0000000000000002E-5</v>
      </c>
      <c r="AL31" s="50" t="s">
        <v>312</v>
      </c>
      <c r="AM31" s="51" t="s">
        <v>312</v>
      </c>
      <c r="AN31" s="51" t="s">
        <v>312</v>
      </c>
      <c r="AO31" s="13" t="s">
        <v>312</v>
      </c>
      <c r="AP31" s="54" t="s">
        <v>312</v>
      </c>
      <c r="AQ31" s="51" t="s">
        <v>312</v>
      </c>
      <c r="AR31" s="51" t="s">
        <v>312</v>
      </c>
      <c r="AS31" s="16" t="s">
        <v>312</v>
      </c>
      <c r="AT31" s="50">
        <v>314415</v>
      </c>
      <c r="AU31" s="51">
        <v>-3.9140000000000001E-2</v>
      </c>
      <c r="AV31" s="51">
        <v>5.3940000000000004E-3</v>
      </c>
      <c r="AW31" s="13">
        <v>2.0000000000000002E-5</v>
      </c>
      <c r="AX31" s="54">
        <v>293853</v>
      </c>
      <c r="AY31" s="51">
        <v>5.8329999999999996E-3</v>
      </c>
      <c r="AZ31" s="51">
        <v>5.6160000000000003E-3</v>
      </c>
      <c r="BA31" s="16">
        <v>0.29891380000000001</v>
      </c>
      <c r="BB31" s="50">
        <v>303685</v>
      </c>
      <c r="BC31" s="51">
        <v>3.8475700000000002E-2</v>
      </c>
      <c r="BD31" s="51">
        <v>5.5170000000000002E-3</v>
      </c>
      <c r="BE31" s="13">
        <v>2.0000000000000002E-5</v>
      </c>
      <c r="BF31" s="54">
        <v>317660</v>
      </c>
      <c r="BG31" s="51">
        <v>4.2560000000000002E-3</v>
      </c>
      <c r="BH31" s="51">
        <v>5.3670000000000002E-3</v>
      </c>
      <c r="BI31" s="16">
        <v>0.42770000000000002</v>
      </c>
      <c r="BJ31" s="50">
        <v>185951</v>
      </c>
      <c r="BK31" s="51">
        <v>0.23960000000000001</v>
      </c>
      <c r="BL31" s="51">
        <v>6.9000000000000006E-2</v>
      </c>
      <c r="BM31" s="13">
        <v>5.1900000000000004E-4</v>
      </c>
      <c r="BN31" s="54">
        <v>185921</v>
      </c>
      <c r="BO31" s="51">
        <v>0.1593</v>
      </c>
      <c r="BP31" s="51">
        <v>0.1158</v>
      </c>
      <c r="BQ31" s="13">
        <v>0.16900000000000001</v>
      </c>
    </row>
    <row r="32" spans="1:69" x14ac:dyDescent="0.25">
      <c r="A32" s="1" t="s">
        <v>2035</v>
      </c>
      <c r="B32" s="1" t="s">
        <v>127</v>
      </c>
      <c r="C32" s="1">
        <v>11</v>
      </c>
      <c r="D32" s="1">
        <v>65403651</v>
      </c>
      <c r="E32" s="37" t="s">
        <v>128</v>
      </c>
      <c r="F32" s="654" t="s">
        <v>129</v>
      </c>
      <c r="G32" s="1" t="s">
        <v>17</v>
      </c>
      <c r="H32" s="1" t="s">
        <v>16</v>
      </c>
      <c r="I32" s="4">
        <v>0.95430000000000004</v>
      </c>
      <c r="J32" s="50">
        <v>434739</v>
      </c>
      <c r="K32" s="51">
        <v>-4.4587699999999999E-3</v>
      </c>
      <c r="L32" s="51">
        <v>5.5821000000000004E-3</v>
      </c>
      <c r="M32" s="13">
        <v>0.42442788999999997</v>
      </c>
      <c r="N32" s="61">
        <v>502531</v>
      </c>
      <c r="O32" s="51">
        <v>-1.354816E-2</v>
      </c>
      <c r="P32" s="51">
        <v>5.0267100000000002E-3</v>
      </c>
      <c r="Q32" s="13">
        <v>7.0339199999999999E-3</v>
      </c>
      <c r="R32" s="54">
        <v>69866.53</v>
      </c>
      <c r="S32" s="51">
        <v>5.62E-2</v>
      </c>
      <c r="T32" s="51">
        <v>2.93E-2</v>
      </c>
      <c r="U32" s="16">
        <v>0.12330000000000001</v>
      </c>
      <c r="V32" s="50">
        <v>122600</v>
      </c>
      <c r="W32" s="51">
        <v>6.9143199999999998E-3</v>
      </c>
      <c r="X32" s="51">
        <v>3.39164E-3</v>
      </c>
      <c r="Y32" s="13">
        <v>7.4545700000000006E-2</v>
      </c>
      <c r="Z32" s="54">
        <v>100542</v>
      </c>
      <c r="AA32" s="51">
        <v>2.83643E-3</v>
      </c>
      <c r="AB32" s="51">
        <v>5.1196899999999997E-3</v>
      </c>
      <c r="AC32" s="16">
        <v>0.58760299999999999</v>
      </c>
      <c r="AD32" s="50">
        <v>126047</v>
      </c>
      <c r="AE32" s="51">
        <v>3.9892299999999999E-3</v>
      </c>
      <c r="AF32" s="51">
        <v>4.5421799999999998E-3</v>
      </c>
      <c r="AG32" s="13">
        <v>0.37272499999999997</v>
      </c>
      <c r="AH32" s="54">
        <v>54722</v>
      </c>
      <c r="AI32" s="51">
        <v>2.8994700000000002E-2</v>
      </c>
      <c r="AJ32" s="51">
        <v>2.0091700000000001E-2</v>
      </c>
      <c r="AK32" s="16">
        <v>9.2620300000000003E-2</v>
      </c>
      <c r="AL32" s="104">
        <v>76657</v>
      </c>
      <c r="AM32" s="51">
        <v>-1.03E-2</v>
      </c>
      <c r="AN32" s="51">
        <v>2.1700000000000001E-2</v>
      </c>
      <c r="AO32" s="13">
        <v>0.63439999999999996</v>
      </c>
      <c r="AP32" s="103">
        <v>39026</v>
      </c>
      <c r="AQ32" s="51">
        <v>3.6600000000000001E-2</v>
      </c>
      <c r="AR32" s="51">
        <v>8.1900000000000001E-2</v>
      </c>
      <c r="AS32" s="16">
        <v>0.65480000000000005</v>
      </c>
      <c r="AT32" s="50">
        <v>291899</v>
      </c>
      <c r="AU32" s="51">
        <v>-6.8405000000000002E-3</v>
      </c>
      <c r="AV32" s="51">
        <v>6.6160000000000004E-3</v>
      </c>
      <c r="AW32" s="13">
        <v>0.30120000000000002</v>
      </c>
      <c r="AX32" s="54">
        <v>271337</v>
      </c>
      <c r="AY32" s="51">
        <v>-1.941E-2</v>
      </c>
      <c r="AZ32" s="51">
        <v>6.9059999999999998E-3</v>
      </c>
      <c r="BA32" s="16">
        <v>4.9449999999999997E-3</v>
      </c>
      <c r="BB32" s="50">
        <v>281169</v>
      </c>
      <c r="BC32" s="51">
        <v>6.9950000000000003E-3</v>
      </c>
      <c r="BD32" s="51">
        <v>6.777E-3</v>
      </c>
      <c r="BE32" s="13">
        <v>0.30199999999999999</v>
      </c>
      <c r="BF32" s="54">
        <v>295145</v>
      </c>
      <c r="BG32" s="51">
        <v>-1.1156599999999999E-2</v>
      </c>
      <c r="BH32" s="51">
        <v>6.5700000000000003E-3</v>
      </c>
      <c r="BI32" s="16">
        <v>8.9495000000000005E-2</v>
      </c>
      <c r="BJ32" s="50">
        <v>187852</v>
      </c>
      <c r="BK32" s="51">
        <v>0.1865</v>
      </c>
      <c r="BL32" s="51">
        <v>8.3299999999999999E-2</v>
      </c>
      <c r="BM32" s="13">
        <v>2.5100000000000001E-2</v>
      </c>
      <c r="BN32" s="54">
        <v>187822</v>
      </c>
      <c r="BO32" s="51">
        <v>0.40389999999999998</v>
      </c>
      <c r="BP32" s="51">
        <v>0.13869999999999999</v>
      </c>
      <c r="BQ32" s="13">
        <v>3.5999999999999999E-3</v>
      </c>
    </row>
    <row r="33" spans="1:69" x14ac:dyDescent="0.25">
      <c r="A33" s="1" t="s">
        <v>2036</v>
      </c>
      <c r="B33" s="1" t="s">
        <v>131</v>
      </c>
      <c r="C33" s="1">
        <v>12</v>
      </c>
      <c r="D33" s="1">
        <v>48143315</v>
      </c>
      <c r="E33" s="37" t="s">
        <v>132</v>
      </c>
      <c r="F33" s="654" t="s">
        <v>133</v>
      </c>
      <c r="G33" s="1" t="s">
        <v>16</v>
      </c>
      <c r="H33" s="1" t="s">
        <v>24</v>
      </c>
      <c r="I33" s="4">
        <v>0.98950000000000005</v>
      </c>
      <c r="J33" s="50">
        <v>445265</v>
      </c>
      <c r="K33" s="51">
        <v>4.7906959999999998E-2</v>
      </c>
      <c r="L33" s="51">
        <v>1.045222E-2</v>
      </c>
      <c r="M33" s="13">
        <v>2.0000000000000002E-5</v>
      </c>
      <c r="N33" s="61">
        <v>512882</v>
      </c>
      <c r="O33" s="51">
        <v>-7.3766670000000006E-2</v>
      </c>
      <c r="P33" s="51">
        <v>9.7991799999999993E-3</v>
      </c>
      <c r="Q33" s="13">
        <v>2.0000000000000002E-5</v>
      </c>
      <c r="R33" s="54">
        <v>69866.53</v>
      </c>
      <c r="S33" s="51">
        <v>-7.1000000000000004E-3</v>
      </c>
      <c r="T33" s="51">
        <v>5.4699999999999999E-2</v>
      </c>
      <c r="U33" s="16">
        <v>0.57669999999999999</v>
      </c>
      <c r="V33" s="50">
        <v>144036</v>
      </c>
      <c r="W33" s="51">
        <v>8.8603099999999997E-3</v>
      </c>
      <c r="X33" s="51">
        <v>5.9656700000000002E-3</v>
      </c>
      <c r="Y33" s="13">
        <v>6.1883100000000003E-2</v>
      </c>
      <c r="Z33" s="54">
        <v>104123</v>
      </c>
      <c r="AA33" s="51">
        <v>5.2593000000000001E-2</v>
      </c>
      <c r="AB33" s="51">
        <v>1.01104E-2</v>
      </c>
      <c r="AC33" s="16">
        <v>2.0000000000000002E-5</v>
      </c>
      <c r="AD33" s="50">
        <v>129646</v>
      </c>
      <c r="AE33" s="51">
        <v>-2.4235699999999999E-3</v>
      </c>
      <c r="AF33" s="51">
        <v>8.9713499999999995E-3</v>
      </c>
      <c r="AG33" s="13">
        <v>0.71865900000000005</v>
      </c>
      <c r="AH33" s="54">
        <v>57869</v>
      </c>
      <c r="AI33" s="51">
        <v>0.105199</v>
      </c>
      <c r="AJ33" s="51">
        <v>3.7733500000000003E-2</v>
      </c>
      <c r="AK33" s="16">
        <v>8.3739899999999996E-3</v>
      </c>
      <c r="AL33" s="104">
        <v>76657</v>
      </c>
      <c r="AM33" s="51">
        <v>-1.37E-2</v>
      </c>
      <c r="AN33" s="51">
        <v>3.49E-2</v>
      </c>
      <c r="AO33" s="13">
        <v>0.69379999999999997</v>
      </c>
      <c r="AP33" s="103">
        <v>39026</v>
      </c>
      <c r="AQ33" s="51">
        <v>3.9300000000000002E-2</v>
      </c>
      <c r="AR33" s="51">
        <v>0.13120000000000001</v>
      </c>
      <c r="AS33" s="16">
        <v>0.76429999999999998</v>
      </c>
      <c r="AT33" s="50">
        <v>310822</v>
      </c>
      <c r="AU33" s="51">
        <v>3.4669999999999999E-2</v>
      </c>
      <c r="AV33" s="51">
        <v>1.2952999999999999E-2</v>
      </c>
      <c r="AW33" s="13">
        <v>7.4339999999999996E-3</v>
      </c>
      <c r="AX33" s="54">
        <v>290263</v>
      </c>
      <c r="AY33" s="51">
        <v>2.333E-2</v>
      </c>
      <c r="AZ33" s="51">
        <v>1.3422E-2</v>
      </c>
      <c r="BA33" s="16">
        <v>8.2199999999999995E-2</v>
      </c>
      <c r="BB33" s="50">
        <v>299984</v>
      </c>
      <c r="BC33" s="51">
        <v>-3.6982000000000001E-2</v>
      </c>
      <c r="BD33" s="51">
        <v>1.3147000000000001E-2</v>
      </c>
      <c r="BE33" s="13">
        <v>4.9069999999999999E-3</v>
      </c>
      <c r="BF33" s="54">
        <v>313946</v>
      </c>
      <c r="BG33" s="51">
        <v>1.46464E-2</v>
      </c>
      <c r="BH33" s="51">
        <v>1.2841999999999999E-2</v>
      </c>
      <c r="BI33" s="16">
        <v>0.25406000000000001</v>
      </c>
      <c r="BJ33" s="50">
        <v>186884</v>
      </c>
      <c r="BK33" s="51">
        <v>0.2092</v>
      </c>
      <c r="BL33" s="51">
        <v>0.16200000000000001</v>
      </c>
      <c r="BM33" s="13">
        <v>0.1963</v>
      </c>
      <c r="BN33" s="54">
        <v>186854</v>
      </c>
      <c r="BO33" s="51">
        <v>0.61760000000000004</v>
      </c>
      <c r="BP33" s="51">
        <v>0.27100000000000002</v>
      </c>
      <c r="BQ33" s="13">
        <v>2.2579999999999999E-2</v>
      </c>
    </row>
    <row r="34" spans="1:69" x14ac:dyDescent="0.25">
      <c r="A34" s="1" t="s">
        <v>2037</v>
      </c>
      <c r="B34" s="1" t="s">
        <v>135</v>
      </c>
      <c r="C34" s="1">
        <v>12</v>
      </c>
      <c r="D34" s="1">
        <v>108618630</v>
      </c>
      <c r="E34" s="37" t="s">
        <v>136</v>
      </c>
      <c r="F34" s="654" t="s">
        <v>137</v>
      </c>
      <c r="G34" s="1" t="s">
        <v>17</v>
      </c>
      <c r="H34" s="1" t="s">
        <v>23</v>
      </c>
      <c r="I34" s="4">
        <v>0.73680000000000001</v>
      </c>
      <c r="J34" s="50">
        <v>444591</v>
      </c>
      <c r="K34" s="51">
        <v>-6.3396600000000004E-3</v>
      </c>
      <c r="L34" s="51">
        <v>2.52601E-3</v>
      </c>
      <c r="M34" s="13">
        <v>1.2081430000000001E-2</v>
      </c>
      <c r="N34" s="61">
        <v>512882</v>
      </c>
      <c r="O34" s="51">
        <v>4.8410700000000003E-3</v>
      </c>
      <c r="P34" s="51">
        <v>2.3328200000000002E-3</v>
      </c>
      <c r="Q34" s="13">
        <v>3.7968309999999998E-2</v>
      </c>
      <c r="R34" s="54">
        <v>69866.53</v>
      </c>
      <c r="S34" s="51">
        <v>5.9299999999999999E-2</v>
      </c>
      <c r="T34" s="51">
        <v>1.43E-2</v>
      </c>
      <c r="U34" s="16">
        <v>4.0500000000000002E-5</v>
      </c>
      <c r="V34" s="50">
        <v>139340</v>
      </c>
      <c r="W34" s="51">
        <v>1.78137E-3</v>
      </c>
      <c r="X34" s="51">
        <v>1.42701E-3</v>
      </c>
      <c r="Y34" s="13">
        <v>0.226187</v>
      </c>
      <c r="Z34" s="54">
        <v>97102</v>
      </c>
      <c r="AA34" s="51">
        <v>3.6762800000000001E-3</v>
      </c>
      <c r="AB34" s="51">
        <v>2.4062100000000002E-3</v>
      </c>
      <c r="AC34" s="16">
        <v>0.119683</v>
      </c>
      <c r="AD34" s="50">
        <v>117146</v>
      </c>
      <c r="AE34" s="51">
        <v>-3.3500600000000002E-3</v>
      </c>
      <c r="AF34" s="51">
        <v>2.2502400000000001E-3</v>
      </c>
      <c r="AG34" s="13">
        <v>0.17921300000000001</v>
      </c>
      <c r="AH34" s="54">
        <v>57859</v>
      </c>
      <c r="AI34" s="51">
        <v>-4.9023799999999996E-3</v>
      </c>
      <c r="AJ34" s="51">
        <v>9.6877600000000001E-3</v>
      </c>
      <c r="AK34" s="16">
        <v>0.61530700000000005</v>
      </c>
      <c r="AL34" s="50">
        <v>85825</v>
      </c>
      <c r="AM34" s="51">
        <v>2.4400000000000002E-2</v>
      </c>
      <c r="AN34" s="51">
        <v>8.0000000000000002E-3</v>
      </c>
      <c r="AO34" s="13">
        <v>2.1679999999999998E-3</v>
      </c>
      <c r="AP34" s="54">
        <v>52036</v>
      </c>
      <c r="AQ34" s="51">
        <v>-1.6799999999999999E-2</v>
      </c>
      <c r="AR34" s="51">
        <v>2.9499999999999998E-2</v>
      </c>
      <c r="AS34" s="16">
        <v>0.56930000000000003</v>
      </c>
      <c r="AT34" s="50">
        <v>310442</v>
      </c>
      <c r="AU34" s="51">
        <v>-1.7210000000000001E-3</v>
      </c>
      <c r="AV34" s="51">
        <v>2.9229999999999998E-3</v>
      </c>
      <c r="AW34" s="13">
        <v>0.55591939999999995</v>
      </c>
      <c r="AX34" s="54">
        <v>289910</v>
      </c>
      <c r="AY34" s="51">
        <v>6.5642000000000001E-3</v>
      </c>
      <c r="AZ34" s="51">
        <v>3.0309999999999998E-3</v>
      </c>
      <c r="BA34" s="16">
        <v>3.0315999999999999E-2</v>
      </c>
      <c r="BB34" s="50">
        <v>299750</v>
      </c>
      <c r="BC34" s="51">
        <v>7.6522999999999999E-3</v>
      </c>
      <c r="BD34" s="51">
        <v>2.98E-3</v>
      </c>
      <c r="BE34" s="13">
        <v>1.0241E-2</v>
      </c>
      <c r="BF34" s="54">
        <v>313728</v>
      </c>
      <c r="BG34" s="51">
        <v>7.0876000000000003E-3</v>
      </c>
      <c r="BH34" s="51">
        <v>2.9090000000000001E-3</v>
      </c>
      <c r="BI34" s="16">
        <v>1.4834E-2</v>
      </c>
      <c r="BJ34" s="50">
        <v>168083</v>
      </c>
      <c r="BK34" s="51">
        <v>1.24E-2</v>
      </c>
      <c r="BL34" s="51">
        <v>4.0500000000000001E-2</v>
      </c>
      <c r="BM34" s="13">
        <v>0.7591</v>
      </c>
      <c r="BN34" s="54">
        <v>168092</v>
      </c>
      <c r="BO34" s="51">
        <v>5.7000000000000002E-2</v>
      </c>
      <c r="BP34" s="51">
        <v>6.8000000000000005E-2</v>
      </c>
      <c r="BQ34" s="13">
        <v>0.4022</v>
      </c>
    </row>
    <row r="35" spans="1:69" x14ac:dyDescent="0.25">
      <c r="A35" s="1" t="s">
        <v>2038</v>
      </c>
      <c r="B35" s="1" t="s">
        <v>139</v>
      </c>
      <c r="C35" s="1">
        <v>12</v>
      </c>
      <c r="D35" s="1">
        <v>123444507</v>
      </c>
      <c r="E35" s="37" t="s">
        <v>939</v>
      </c>
      <c r="F35" s="654" t="s">
        <v>140</v>
      </c>
      <c r="G35" s="1" t="s">
        <v>24</v>
      </c>
      <c r="H35" s="1" t="s">
        <v>23</v>
      </c>
      <c r="I35" s="4">
        <v>0.98699999999999999</v>
      </c>
      <c r="J35" s="50">
        <v>444261</v>
      </c>
      <c r="K35" s="51">
        <v>1.0061779999999999E-2</v>
      </c>
      <c r="L35" s="51">
        <v>9.7792199999999999E-3</v>
      </c>
      <c r="M35" s="13">
        <v>0.30352929000000001</v>
      </c>
      <c r="N35" s="61">
        <v>516412</v>
      </c>
      <c r="O35" s="51">
        <v>-5.4563900000000002E-3</v>
      </c>
      <c r="P35" s="51">
        <v>9.0376799999999993E-3</v>
      </c>
      <c r="Q35" s="13">
        <v>0.54601736000000001</v>
      </c>
      <c r="R35" s="54">
        <v>69866.53</v>
      </c>
      <c r="S35" s="51">
        <v>3.39E-2</v>
      </c>
      <c r="T35" s="51">
        <v>6.13E-2</v>
      </c>
      <c r="U35" s="16">
        <v>0.64180000000000004</v>
      </c>
      <c r="V35" s="50">
        <v>144034</v>
      </c>
      <c r="W35" s="51">
        <v>-7.3430800000000001E-3</v>
      </c>
      <c r="X35" s="51">
        <v>5.3591400000000001E-3</v>
      </c>
      <c r="Y35" s="13">
        <v>0.141514</v>
      </c>
      <c r="Z35" s="54">
        <v>104071</v>
      </c>
      <c r="AA35" s="51">
        <v>1.46882E-3</v>
      </c>
      <c r="AB35" s="51">
        <v>9.50639E-3</v>
      </c>
      <c r="AC35" s="16">
        <v>0.68916900000000003</v>
      </c>
      <c r="AD35" s="50">
        <v>129594</v>
      </c>
      <c r="AE35" s="51">
        <v>1.53356E-2</v>
      </c>
      <c r="AF35" s="51">
        <v>8.5464200000000008E-3</v>
      </c>
      <c r="AG35" s="13">
        <v>7.5657500000000003E-2</v>
      </c>
      <c r="AH35" s="54">
        <v>57845</v>
      </c>
      <c r="AI35" s="51">
        <v>3.0962900000000002E-2</v>
      </c>
      <c r="AJ35" s="51">
        <v>4.2824599999999997E-2</v>
      </c>
      <c r="AK35" s="16">
        <v>0.42000799999999999</v>
      </c>
      <c r="AL35" s="104">
        <v>76657</v>
      </c>
      <c r="AM35" s="51">
        <v>4.1999999999999997E-3</v>
      </c>
      <c r="AN35" s="51">
        <v>3.0499999999999999E-2</v>
      </c>
      <c r="AO35" s="13">
        <v>0.89119999999999999</v>
      </c>
      <c r="AP35" s="103">
        <v>39026</v>
      </c>
      <c r="AQ35" s="51">
        <v>-3.7999999999999999E-2</v>
      </c>
      <c r="AR35" s="51">
        <v>0.1133</v>
      </c>
      <c r="AS35" s="16">
        <v>0.73750000000000004</v>
      </c>
      <c r="AT35" s="50">
        <v>310822</v>
      </c>
      <c r="AU35" s="51">
        <v>-2.7688899999999999E-2</v>
      </c>
      <c r="AV35" s="51">
        <v>1.175E-2</v>
      </c>
      <c r="AW35" s="13">
        <v>1.8450000000000001E-2</v>
      </c>
      <c r="AX35" s="54">
        <v>290263</v>
      </c>
      <c r="AY35" s="51">
        <v>9.7029000000000004E-3</v>
      </c>
      <c r="AZ35" s="51">
        <v>1.2194E-2</v>
      </c>
      <c r="BA35" s="16">
        <v>0.42618800000000001</v>
      </c>
      <c r="BB35" s="50">
        <v>299984</v>
      </c>
      <c r="BC35" s="51">
        <v>1.1835999999999999E-2</v>
      </c>
      <c r="BD35" s="51">
        <v>1.1918E-2</v>
      </c>
      <c r="BE35" s="13">
        <v>0.32064599999999999</v>
      </c>
      <c r="BF35" s="54">
        <v>313946</v>
      </c>
      <c r="BG35" s="51">
        <v>-9.8560000000000002E-3</v>
      </c>
      <c r="BH35" s="51">
        <v>1.1684E-2</v>
      </c>
      <c r="BI35" s="16">
        <v>0.39889999999999998</v>
      </c>
      <c r="BJ35" s="50">
        <v>187115</v>
      </c>
      <c r="BK35" s="51">
        <v>-0.25530000000000003</v>
      </c>
      <c r="BL35" s="51">
        <v>0.16789999999999999</v>
      </c>
      <c r="BM35" s="13">
        <v>0.1285</v>
      </c>
      <c r="BN35" s="54">
        <v>187085</v>
      </c>
      <c r="BO35" s="51">
        <v>0.1128</v>
      </c>
      <c r="BP35" s="51">
        <v>0.28029999999999999</v>
      </c>
      <c r="BQ35" s="13">
        <v>0.68740000000000001</v>
      </c>
    </row>
    <row r="36" spans="1:69" x14ac:dyDescent="0.25">
      <c r="A36" s="1" t="s">
        <v>2039</v>
      </c>
      <c r="B36" s="1" t="s">
        <v>143</v>
      </c>
      <c r="C36" s="1">
        <v>12</v>
      </c>
      <c r="D36" s="1">
        <v>124265687</v>
      </c>
      <c r="E36" s="37" t="s">
        <v>940</v>
      </c>
      <c r="F36" s="654" t="s">
        <v>144</v>
      </c>
      <c r="G36" s="1" t="s">
        <v>23</v>
      </c>
      <c r="H36" s="1" t="s">
        <v>17</v>
      </c>
      <c r="I36" s="4">
        <v>0.37319999999999998</v>
      </c>
      <c r="J36" s="50">
        <v>458253</v>
      </c>
      <c r="K36" s="51">
        <v>2.1150700000000001E-3</v>
      </c>
      <c r="L36" s="51">
        <v>2.26633E-3</v>
      </c>
      <c r="M36" s="13">
        <v>0.35068645999999998</v>
      </c>
      <c r="N36" s="61">
        <v>526508</v>
      </c>
      <c r="O36" s="51">
        <v>-1.0459E-3</v>
      </c>
      <c r="P36" s="51">
        <v>2.0820299999999999E-3</v>
      </c>
      <c r="Q36" s="13">
        <v>0.61542558000000003</v>
      </c>
      <c r="R36" s="54">
        <v>69866.53</v>
      </c>
      <c r="S36" s="51">
        <v>-1.0500000000000001E-2</v>
      </c>
      <c r="T36" s="51">
        <v>1.5900000000000001E-2</v>
      </c>
      <c r="U36" s="16">
        <v>0.54179999999999995</v>
      </c>
      <c r="V36" s="50">
        <v>144020</v>
      </c>
      <c r="W36" s="51">
        <v>-3.5263999999999998E-4</v>
      </c>
      <c r="X36" s="51">
        <v>1.28859E-3</v>
      </c>
      <c r="Y36" s="13">
        <v>0.53881500000000004</v>
      </c>
      <c r="Z36" s="54">
        <v>104115</v>
      </c>
      <c r="AA36" s="51">
        <v>1.05018E-2</v>
      </c>
      <c r="AB36" s="51">
        <v>2.1354799999999999E-3</v>
      </c>
      <c r="AC36" s="16">
        <v>2.0000000000000002E-5</v>
      </c>
      <c r="AD36" s="50">
        <v>129638</v>
      </c>
      <c r="AE36" s="51">
        <v>4.4613999999999998E-4</v>
      </c>
      <c r="AF36" s="51">
        <v>1.94751E-3</v>
      </c>
      <c r="AG36" s="13">
        <v>0.93781700000000001</v>
      </c>
      <c r="AH36" s="54">
        <v>57856</v>
      </c>
      <c r="AI36" s="51">
        <v>4.7279699999999997E-3</v>
      </c>
      <c r="AJ36" s="51">
        <v>9.0711999999999997E-3</v>
      </c>
      <c r="AK36" s="16">
        <v>0.73792500000000005</v>
      </c>
      <c r="AL36" s="50">
        <v>132973</v>
      </c>
      <c r="AM36" s="51">
        <v>9.1000000000000004E-3</v>
      </c>
      <c r="AN36" s="51">
        <v>5.8999999999999999E-3</v>
      </c>
      <c r="AO36" s="13">
        <v>0.1255</v>
      </c>
      <c r="AP36" s="54">
        <v>68821.899999999994</v>
      </c>
      <c r="AQ36" s="51">
        <v>-2.3699999999999999E-2</v>
      </c>
      <c r="AR36" s="51">
        <v>2.2100000000000002E-2</v>
      </c>
      <c r="AS36" s="16">
        <v>0.28260000000000002</v>
      </c>
      <c r="AT36" s="50">
        <v>316391</v>
      </c>
      <c r="AU36" s="51">
        <v>-1.7250000000000001E-2</v>
      </c>
      <c r="AV36" s="51">
        <v>2.666E-3</v>
      </c>
      <c r="AW36" s="13">
        <v>2.0000000000000002E-5</v>
      </c>
      <c r="AX36" s="54">
        <v>295826</v>
      </c>
      <c r="AY36" s="51">
        <v>8.7557999999999993E-3</v>
      </c>
      <c r="AZ36" s="51">
        <v>2.7620000000000001E-3</v>
      </c>
      <c r="BA36" s="16">
        <v>1.5250000000000001E-3</v>
      </c>
      <c r="BB36" s="50">
        <v>305699</v>
      </c>
      <c r="BC36" s="51">
        <v>1.12947E-2</v>
      </c>
      <c r="BD36" s="51">
        <v>2.7160000000000001E-3</v>
      </c>
      <c r="BE36" s="13">
        <v>3.1999999999999999E-5</v>
      </c>
      <c r="BF36" s="54">
        <v>319677</v>
      </c>
      <c r="BG36" s="51">
        <v>5.7529E-3</v>
      </c>
      <c r="BH36" s="51">
        <v>2.6510000000000001E-3</v>
      </c>
      <c r="BI36" s="16">
        <v>3.0005500000000001E-2</v>
      </c>
      <c r="BJ36" s="50">
        <v>187840</v>
      </c>
      <c r="BK36" s="51">
        <v>-8.8300000000000003E-2</v>
      </c>
      <c r="BL36" s="51">
        <v>3.5900000000000001E-2</v>
      </c>
      <c r="BM36" s="13">
        <v>1.4069999999999999E-2</v>
      </c>
      <c r="BN36" s="54">
        <v>187810</v>
      </c>
      <c r="BO36" s="51">
        <v>-2.8999999999999998E-3</v>
      </c>
      <c r="BP36" s="51">
        <v>6.0199999999999997E-2</v>
      </c>
      <c r="BQ36" s="13">
        <v>0.96150000000000002</v>
      </c>
    </row>
    <row r="37" spans="1:69" x14ac:dyDescent="0.25">
      <c r="A37" s="1" t="s">
        <v>2040</v>
      </c>
      <c r="B37" s="1" t="s">
        <v>146</v>
      </c>
      <c r="C37" s="1">
        <v>12</v>
      </c>
      <c r="D37" s="1">
        <v>124330311</v>
      </c>
      <c r="E37" s="37" t="s">
        <v>940</v>
      </c>
      <c r="F37" s="654" t="s">
        <v>147</v>
      </c>
      <c r="G37" s="1" t="s">
        <v>17</v>
      </c>
      <c r="H37" s="1" t="s">
        <v>23</v>
      </c>
      <c r="I37" s="4">
        <v>0.88929999999999998</v>
      </c>
      <c r="J37" s="50">
        <v>458253</v>
      </c>
      <c r="K37" s="51">
        <v>9.4206399999999992E-3</v>
      </c>
      <c r="L37" s="51">
        <v>3.5750299999999999E-3</v>
      </c>
      <c r="M37" s="13">
        <v>8.4107599999999998E-3</v>
      </c>
      <c r="N37" s="61">
        <v>526508</v>
      </c>
      <c r="O37" s="51">
        <v>-4.8037499999999999E-3</v>
      </c>
      <c r="P37" s="51">
        <v>3.2506100000000001E-3</v>
      </c>
      <c r="Q37" s="13">
        <v>0.13946132</v>
      </c>
      <c r="R37" s="54">
        <v>69866.53</v>
      </c>
      <c r="S37" s="51">
        <v>9.7999999999999997E-3</v>
      </c>
      <c r="T37" s="51">
        <v>2.0799999999999999E-2</v>
      </c>
      <c r="U37" s="16">
        <v>0.29089999999999999</v>
      </c>
      <c r="V37" s="50">
        <v>144029</v>
      </c>
      <c r="W37" s="51">
        <v>-5.2411000000000005E-4</v>
      </c>
      <c r="X37" s="51">
        <v>1.9817099999999998E-3</v>
      </c>
      <c r="Y37" s="13">
        <v>0.51406499999999999</v>
      </c>
      <c r="Z37" s="54">
        <v>104083</v>
      </c>
      <c r="AA37" s="51">
        <v>3.7842000000000002E-3</v>
      </c>
      <c r="AB37" s="51">
        <v>3.3754200000000001E-3</v>
      </c>
      <c r="AC37" s="16">
        <v>0.159631</v>
      </c>
      <c r="AD37" s="50">
        <v>129601</v>
      </c>
      <c r="AE37" s="51">
        <v>-2.8874899999999999E-3</v>
      </c>
      <c r="AF37" s="51">
        <v>3.06815E-3</v>
      </c>
      <c r="AG37" s="13">
        <v>0.41753200000000001</v>
      </c>
      <c r="AH37" s="54">
        <v>57853</v>
      </c>
      <c r="AI37" s="51">
        <v>6.0533200000000001E-3</v>
      </c>
      <c r="AJ37" s="51">
        <v>1.4171599999999999E-2</v>
      </c>
      <c r="AK37" s="16">
        <v>0.60504899999999995</v>
      </c>
      <c r="AL37" s="50" t="s">
        <v>312</v>
      </c>
      <c r="AM37" s="51" t="s">
        <v>312</v>
      </c>
      <c r="AN37" s="51" t="s">
        <v>312</v>
      </c>
      <c r="AO37" s="13" t="s">
        <v>312</v>
      </c>
      <c r="AP37" s="54" t="s">
        <v>312</v>
      </c>
      <c r="AQ37" s="51" t="s">
        <v>312</v>
      </c>
      <c r="AR37" s="51" t="s">
        <v>312</v>
      </c>
      <c r="AS37" s="16" t="s">
        <v>312</v>
      </c>
      <c r="AT37" s="50">
        <v>314415</v>
      </c>
      <c r="AU37" s="51">
        <v>-2.6360000000000001E-2</v>
      </c>
      <c r="AV37" s="51">
        <v>4.2009999999999999E-3</v>
      </c>
      <c r="AW37" s="13">
        <v>2.0000000000000002E-5</v>
      </c>
      <c r="AX37" s="54">
        <v>293853</v>
      </c>
      <c r="AY37" s="51">
        <v>-1.7185E-3</v>
      </c>
      <c r="AZ37" s="51">
        <v>4.3579999999999999E-3</v>
      </c>
      <c r="BA37" s="16">
        <v>0.69330700000000001</v>
      </c>
      <c r="BB37" s="50">
        <v>303685</v>
      </c>
      <c r="BC37" s="51">
        <v>2.1556800000000001E-2</v>
      </c>
      <c r="BD37" s="51">
        <v>4.2810000000000001E-3</v>
      </c>
      <c r="BE37" s="13">
        <v>2.0000000000000002E-5</v>
      </c>
      <c r="BF37" s="54">
        <v>317660</v>
      </c>
      <c r="BG37" s="51">
        <v>-2.366E-3</v>
      </c>
      <c r="BH37" s="51">
        <v>4.1790000000000004E-3</v>
      </c>
      <c r="BI37" s="16">
        <v>0.57124710000000001</v>
      </c>
      <c r="BJ37" s="50">
        <v>187841</v>
      </c>
      <c r="BK37" s="51">
        <v>4.0000000000000002E-4</v>
      </c>
      <c r="BL37" s="51">
        <v>5.74E-2</v>
      </c>
      <c r="BM37" s="13">
        <v>0.99380000000000002</v>
      </c>
      <c r="BN37" s="54">
        <v>187811</v>
      </c>
      <c r="BO37" s="51">
        <v>4.82E-2</v>
      </c>
      <c r="BP37" s="51">
        <v>9.5799999999999996E-2</v>
      </c>
      <c r="BQ37" s="13">
        <v>0.61509999999999998</v>
      </c>
    </row>
    <row r="38" spans="1:69" x14ac:dyDescent="0.25">
      <c r="A38" s="1" t="s">
        <v>2041</v>
      </c>
      <c r="B38" s="1" t="s">
        <v>149</v>
      </c>
      <c r="C38" s="1">
        <v>12</v>
      </c>
      <c r="D38" s="1">
        <v>124427306</v>
      </c>
      <c r="E38" s="37" t="s">
        <v>941</v>
      </c>
      <c r="F38" s="654" t="s">
        <v>150</v>
      </c>
      <c r="G38" s="1" t="s">
        <v>23</v>
      </c>
      <c r="H38" s="1" t="s">
        <v>16</v>
      </c>
      <c r="I38" s="4">
        <v>0.6946</v>
      </c>
      <c r="J38" s="50">
        <v>437690</v>
      </c>
      <c r="K38" s="51">
        <v>5.4550700000000002E-3</v>
      </c>
      <c r="L38" s="51">
        <v>2.4424400000000001E-3</v>
      </c>
      <c r="M38" s="13">
        <v>2.5519480000000001E-2</v>
      </c>
      <c r="N38" s="61">
        <v>505981</v>
      </c>
      <c r="O38" s="51">
        <v>-7.4345100000000001E-3</v>
      </c>
      <c r="P38" s="51">
        <v>2.2289900000000001E-3</v>
      </c>
      <c r="Q38" s="13">
        <v>8.5185000000000002E-4</v>
      </c>
      <c r="R38" s="54">
        <v>69865.05</v>
      </c>
      <c r="S38" s="51">
        <v>2.63E-2</v>
      </c>
      <c r="T38" s="51">
        <v>1.3899999999999999E-2</v>
      </c>
      <c r="U38" s="16">
        <v>4.1029999999999997E-2</v>
      </c>
      <c r="V38" s="50">
        <v>138477</v>
      </c>
      <c r="W38" s="51">
        <v>4.65593E-3</v>
      </c>
      <c r="X38" s="51">
        <v>1.3940199999999999E-3</v>
      </c>
      <c r="Y38" s="13">
        <v>2.3785199999999999E-3</v>
      </c>
      <c r="Z38" s="54">
        <v>98548</v>
      </c>
      <c r="AA38" s="51">
        <v>8.8445699999999995E-3</v>
      </c>
      <c r="AB38" s="51">
        <v>2.2705799999999999E-3</v>
      </c>
      <c r="AC38" s="16">
        <v>2.6599999999999999E-5</v>
      </c>
      <c r="AD38" s="50">
        <v>124072</v>
      </c>
      <c r="AE38" s="51">
        <v>1.8106000000000001E-3</v>
      </c>
      <c r="AF38" s="51">
        <v>2.0723299999999998E-3</v>
      </c>
      <c r="AG38" s="13">
        <v>0.38803900000000002</v>
      </c>
      <c r="AH38" s="54">
        <v>57810</v>
      </c>
      <c r="AI38" s="51">
        <v>1.8299699999999999E-2</v>
      </c>
      <c r="AJ38" s="51">
        <v>9.42519E-3</v>
      </c>
      <c r="AK38" s="16">
        <v>4.1630300000000002E-2</v>
      </c>
      <c r="AL38" s="50">
        <v>130096</v>
      </c>
      <c r="AM38" s="51">
        <v>1.9E-3</v>
      </c>
      <c r="AN38" s="51">
        <v>6.1000000000000004E-3</v>
      </c>
      <c r="AO38" s="13">
        <v>0.752</v>
      </c>
      <c r="AP38" s="54">
        <v>68193</v>
      </c>
      <c r="AQ38" s="51">
        <v>-2.47E-2</v>
      </c>
      <c r="AR38" s="51">
        <v>2.2800000000000001E-2</v>
      </c>
      <c r="AS38" s="16">
        <v>0.27789999999999998</v>
      </c>
      <c r="AT38" s="50">
        <v>315653</v>
      </c>
      <c r="AU38" s="51">
        <v>-3.3208000000000001E-2</v>
      </c>
      <c r="AV38" s="51">
        <v>2.7889999999999998E-3</v>
      </c>
      <c r="AW38" s="13">
        <v>2.0000000000000002E-5</v>
      </c>
      <c r="AX38" s="54">
        <v>295096</v>
      </c>
      <c r="AY38" s="51">
        <v>5.8849999999999996E-3</v>
      </c>
      <c r="AZ38" s="51">
        <v>2.8860000000000001E-3</v>
      </c>
      <c r="BA38" s="16">
        <v>4.1429000000000001E-2</v>
      </c>
      <c r="BB38" s="50">
        <v>304964</v>
      </c>
      <c r="BC38" s="51">
        <v>2.7942000000000002E-2</v>
      </c>
      <c r="BD38" s="51">
        <v>2.8379999999999998E-3</v>
      </c>
      <c r="BE38" s="13">
        <v>2.0000000000000002E-5</v>
      </c>
      <c r="BF38" s="54">
        <v>318938</v>
      </c>
      <c r="BG38" s="51">
        <v>2.274E-3</v>
      </c>
      <c r="BH38" s="51">
        <v>2.774E-3</v>
      </c>
      <c r="BI38" s="16">
        <v>0.41239999999999999</v>
      </c>
      <c r="BJ38" s="50">
        <v>170825</v>
      </c>
      <c r="BK38" s="51">
        <v>2.6800000000000001E-2</v>
      </c>
      <c r="BL38" s="51">
        <v>4.0099999999999997E-2</v>
      </c>
      <c r="BM38" s="13">
        <v>0.50439999999999996</v>
      </c>
      <c r="BN38" s="54">
        <v>170834</v>
      </c>
      <c r="BO38" s="51">
        <v>0.1426</v>
      </c>
      <c r="BP38" s="51">
        <v>6.7100000000000007E-2</v>
      </c>
      <c r="BQ38" s="13">
        <v>3.363E-2</v>
      </c>
    </row>
    <row r="39" spans="1:69" x14ac:dyDescent="0.25">
      <c r="A39" s="1" t="s">
        <v>2042</v>
      </c>
      <c r="B39" s="1" t="s">
        <v>219</v>
      </c>
      <c r="C39" s="1">
        <v>14</v>
      </c>
      <c r="D39" s="1">
        <v>58838668</v>
      </c>
      <c r="E39" s="37" t="s">
        <v>220</v>
      </c>
      <c r="F39" s="654" t="s">
        <v>96</v>
      </c>
      <c r="G39" s="1" t="s">
        <v>16</v>
      </c>
      <c r="H39" s="1" t="s">
        <v>24</v>
      </c>
      <c r="I39" s="4">
        <v>0.4108</v>
      </c>
      <c r="J39" s="50">
        <v>429782</v>
      </c>
      <c r="K39" s="51">
        <v>-7.4924900000000001E-3</v>
      </c>
      <c r="L39" s="51">
        <v>2.3145000000000002E-3</v>
      </c>
      <c r="M39" s="13">
        <v>1.2071E-3</v>
      </c>
      <c r="N39" s="61">
        <v>468868</v>
      </c>
      <c r="O39" s="51">
        <v>-6.8446999999999996E-4</v>
      </c>
      <c r="P39" s="51">
        <v>2.1652300000000002E-3</v>
      </c>
      <c r="Q39" s="13">
        <v>0.75191116999999996</v>
      </c>
      <c r="R39" s="54">
        <v>53372.26</v>
      </c>
      <c r="S39" s="51">
        <v>3.4599999999999999E-2</v>
      </c>
      <c r="T39" s="51">
        <v>1.72E-2</v>
      </c>
      <c r="U39" s="16">
        <v>0.1346</v>
      </c>
      <c r="V39" s="50">
        <v>111976</v>
      </c>
      <c r="W39" s="51">
        <v>9.0799999999999995E-4</v>
      </c>
      <c r="X39" s="51">
        <v>1.4011200000000001E-3</v>
      </c>
      <c r="Y39" s="13">
        <v>0.59703600000000001</v>
      </c>
      <c r="Z39" s="54">
        <v>80684</v>
      </c>
      <c r="AA39" s="51">
        <v>3.3273500000000002E-3</v>
      </c>
      <c r="AB39" s="51">
        <v>2.3214500000000001E-3</v>
      </c>
      <c r="AC39" s="16">
        <v>0.189281</v>
      </c>
      <c r="AD39" s="50">
        <v>98733</v>
      </c>
      <c r="AE39" s="51">
        <v>-4.2574700000000002E-3</v>
      </c>
      <c r="AF39" s="51">
        <v>2.2015300000000002E-3</v>
      </c>
      <c r="AG39" s="13">
        <v>0.134578</v>
      </c>
      <c r="AH39" s="54">
        <v>44194</v>
      </c>
      <c r="AI39" s="51">
        <v>-6.6854000000000002E-4</v>
      </c>
      <c r="AJ39" s="51">
        <v>1.02576E-2</v>
      </c>
      <c r="AK39" s="16">
        <v>0.90456899999999996</v>
      </c>
      <c r="AL39" s="50">
        <v>130132</v>
      </c>
      <c r="AM39" s="51">
        <v>-6.9999999999999999E-4</v>
      </c>
      <c r="AN39" s="51">
        <v>5.7999999999999996E-3</v>
      </c>
      <c r="AO39" s="13">
        <v>0.90129999999999999</v>
      </c>
      <c r="AP39" s="54">
        <v>69317.899999999994</v>
      </c>
      <c r="AQ39" s="51">
        <v>7.0000000000000001E-3</v>
      </c>
      <c r="AR39" s="51">
        <v>2.07E-2</v>
      </c>
      <c r="AS39" s="16">
        <v>0.73660000000000003</v>
      </c>
      <c r="AT39" s="50">
        <v>314046</v>
      </c>
      <c r="AU39" s="51">
        <v>-2.4610000000000001E-3</v>
      </c>
      <c r="AV39" s="51">
        <v>2.598E-3</v>
      </c>
      <c r="AW39" s="13">
        <v>0.34360000000000002</v>
      </c>
      <c r="AX39" s="54">
        <v>293507</v>
      </c>
      <c r="AY39" s="51">
        <v>1.0020000000000001E-3</v>
      </c>
      <c r="AZ39" s="51">
        <v>2.6879999999999999E-3</v>
      </c>
      <c r="BA39" s="16">
        <v>0.70923040000000004</v>
      </c>
      <c r="BB39" s="50">
        <v>303341</v>
      </c>
      <c r="BC39" s="51">
        <v>6.1973000000000002E-3</v>
      </c>
      <c r="BD39" s="51">
        <v>2.6440000000000001E-3</v>
      </c>
      <c r="BE39" s="13">
        <v>1.9096700000000001E-2</v>
      </c>
      <c r="BF39" s="54">
        <v>317319</v>
      </c>
      <c r="BG39" s="51">
        <v>3.5880999999999999E-3</v>
      </c>
      <c r="BH39" s="51">
        <v>2.5850000000000001E-3</v>
      </c>
      <c r="BI39" s="16">
        <v>0.165074</v>
      </c>
      <c r="BJ39" s="50">
        <v>155021</v>
      </c>
      <c r="BK39" s="51">
        <v>-6.6500000000000004E-2</v>
      </c>
      <c r="BL39" s="51">
        <v>3.8800000000000001E-2</v>
      </c>
      <c r="BM39" s="13">
        <v>8.6110000000000006E-2</v>
      </c>
      <c r="BN39" s="54">
        <v>154996</v>
      </c>
      <c r="BO39" s="51">
        <v>9.1000000000000004E-3</v>
      </c>
      <c r="BP39" s="51">
        <v>6.5000000000000002E-2</v>
      </c>
      <c r="BQ39" s="13">
        <v>0.88900000000000001</v>
      </c>
    </row>
    <row r="40" spans="1:69" x14ac:dyDescent="0.25">
      <c r="A40" s="1" t="s">
        <v>2043</v>
      </c>
      <c r="B40" s="1" t="s">
        <v>152</v>
      </c>
      <c r="C40" s="1">
        <v>15</v>
      </c>
      <c r="D40" s="1">
        <v>42032383</v>
      </c>
      <c r="E40" s="37" t="s">
        <v>153</v>
      </c>
      <c r="F40" s="654" t="s">
        <v>154</v>
      </c>
      <c r="G40" s="1" t="s">
        <v>24</v>
      </c>
      <c r="H40" s="1" t="s">
        <v>17</v>
      </c>
      <c r="I40" s="4">
        <v>0.34539999999999998</v>
      </c>
      <c r="J40" s="50">
        <v>452800</v>
      </c>
      <c r="K40" s="51">
        <v>-5.6698399999999998E-3</v>
      </c>
      <c r="L40" s="51">
        <v>2.40114E-3</v>
      </c>
      <c r="M40" s="13">
        <v>1.8210170000000001E-2</v>
      </c>
      <c r="N40" s="61">
        <v>520381</v>
      </c>
      <c r="O40" s="51">
        <v>-4.09422E-3</v>
      </c>
      <c r="P40" s="51">
        <v>2.1692199999999999E-3</v>
      </c>
      <c r="Q40" s="13">
        <v>5.910369E-2</v>
      </c>
      <c r="R40" s="54">
        <v>69865.789999999994</v>
      </c>
      <c r="S40" s="51">
        <v>1.5699999999999999E-2</v>
      </c>
      <c r="T40" s="51">
        <v>1.32E-2</v>
      </c>
      <c r="U40" s="16">
        <v>0.26469999999999999</v>
      </c>
      <c r="V40" s="50">
        <v>138434</v>
      </c>
      <c r="W40" s="51">
        <v>3.5504600000000001E-3</v>
      </c>
      <c r="X40" s="51">
        <v>1.3875300000000001E-3</v>
      </c>
      <c r="Y40" s="13">
        <v>6.4173199999999998E-3</v>
      </c>
      <c r="Z40" s="54">
        <v>98563</v>
      </c>
      <c r="AA40" s="51">
        <v>3.4172400000000002E-3</v>
      </c>
      <c r="AB40" s="51">
        <v>2.2081599999999998E-3</v>
      </c>
      <c r="AC40" s="16">
        <v>0.13245699999999999</v>
      </c>
      <c r="AD40" s="50">
        <v>124088</v>
      </c>
      <c r="AE40" s="51">
        <v>3.3247699999999999E-3</v>
      </c>
      <c r="AF40" s="51">
        <v>2.0293099999999999E-3</v>
      </c>
      <c r="AG40" s="13">
        <v>8.8038500000000006E-2</v>
      </c>
      <c r="AH40" s="54">
        <v>57805</v>
      </c>
      <c r="AI40" s="51">
        <v>2.04136E-2</v>
      </c>
      <c r="AJ40" s="51">
        <v>9.1038500000000001E-3</v>
      </c>
      <c r="AK40" s="16">
        <v>1.1285399999999999E-2</v>
      </c>
      <c r="AL40" s="50">
        <v>130208</v>
      </c>
      <c r="AM40" s="51">
        <v>1.8100000000000002E-2</v>
      </c>
      <c r="AN40" s="51">
        <v>5.8999999999999999E-3</v>
      </c>
      <c r="AO40" s="13">
        <v>2.2959999999999999E-3</v>
      </c>
      <c r="AP40" s="54">
        <v>69329.8</v>
      </c>
      <c r="AQ40" s="51">
        <v>-2.5399999999999999E-2</v>
      </c>
      <c r="AR40" s="51">
        <v>2.1499999999999998E-2</v>
      </c>
      <c r="AS40" s="16">
        <v>0.2361</v>
      </c>
      <c r="AT40" s="50">
        <v>316391</v>
      </c>
      <c r="AU40" s="51">
        <v>-1.001E-2</v>
      </c>
      <c r="AV40" s="51">
        <v>2.7079999999999999E-3</v>
      </c>
      <c r="AW40" s="13">
        <v>2.1829999999999999E-4</v>
      </c>
      <c r="AX40" s="54">
        <v>295826</v>
      </c>
      <c r="AY40" s="51">
        <v>2.2580999999999999E-3</v>
      </c>
      <c r="AZ40" s="51">
        <v>2.8040000000000001E-3</v>
      </c>
      <c r="BA40" s="16">
        <v>0.4206724</v>
      </c>
      <c r="BB40" s="50">
        <v>305699</v>
      </c>
      <c r="BC40" s="51">
        <v>1.0970000000000001E-2</v>
      </c>
      <c r="BD40" s="51">
        <v>2.7550000000000001E-3</v>
      </c>
      <c r="BE40" s="13">
        <v>6.86E-5</v>
      </c>
      <c r="BF40" s="54">
        <v>319677</v>
      </c>
      <c r="BG40" s="51">
        <v>-4.304E-4</v>
      </c>
      <c r="BH40" s="51">
        <v>2.6909999999999998E-3</v>
      </c>
      <c r="BI40" s="16">
        <v>0.87290100000000004</v>
      </c>
      <c r="BJ40" s="50">
        <v>170816</v>
      </c>
      <c r="BK40" s="51">
        <v>0.13700000000000001</v>
      </c>
      <c r="BL40" s="51">
        <v>3.8199999999999998E-2</v>
      </c>
      <c r="BM40" s="13">
        <v>3.392E-4</v>
      </c>
      <c r="BN40" s="54">
        <v>170825</v>
      </c>
      <c r="BO40" s="51">
        <v>1.6E-2</v>
      </c>
      <c r="BP40" s="51">
        <v>6.4199999999999993E-2</v>
      </c>
      <c r="BQ40" s="13">
        <v>0.80269999999999997</v>
      </c>
    </row>
    <row r="41" spans="1:69" x14ac:dyDescent="0.25">
      <c r="A41" s="1" t="s">
        <v>2044</v>
      </c>
      <c r="B41" s="1" t="s">
        <v>222</v>
      </c>
      <c r="C41" s="1">
        <v>15</v>
      </c>
      <c r="D41" s="1">
        <v>42115747</v>
      </c>
      <c r="E41" s="37" t="s">
        <v>223</v>
      </c>
      <c r="F41" s="654" t="s">
        <v>224</v>
      </c>
      <c r="G41" s="1" t="s">
        <v>17</v>
      </c>
      <c r="H41" s="1" t="s">
        <v>24</v>
      </c>
      <c r="I41" s="4">
        <v>0.34889999999999999</v>
      </c>
      <c r="J41" s="50">
        <v>232333</v>
      </c>
      <c r="K41" s="51">
        <v>-5.59722E-3</v>
      </c>
      <c r="L41" s="51">
        <v>3.6278299999999999E-3</v>
      </c>
      <c r="M41" s="13">
        <v>0.12286569</v>
      </c>
      <c r="N41" s="61">
        <v>279045</v>
      </c>
      <c r="O41" s="51">
        <v>-5.9462899999999999E-3</v>
      </c>
      <c r="P41" s="51">
        <v>3.17944E-3</v>
      </c>
      <c r="Q41" s="13">
        <v>6.1451520000000003E-2</v>
      </c>
      <c r="R41" s="54">
        <v>16818.36</v>
      </c>
      <c r="S41" s="51">
        <v>3.9E-2</v>
      </c>
      <c r="T41" s="51">
        <v>2.6800000000000001E-2</v>
      </c>
      <c r="U41" s="16">
        <v>0.32550000000000001</v>
      </c>
      <c r="V41" s="50">
        <v>46368</v>
      </c>
      <c r="W41" s="51">
        <v>7.1338E-4</v>
      </c>
      <c r="X41" s="51">
        <v>2.4095399999999999E-3</v>
      </c>
      <c r="Y41" s="13">
        <v>0.86312199999999994</v>
      </c>
      <c r="Z41" s="54">
        <v>19418</v>
      </c>
      <c r="AA41" s="51">
        <v>-3.3894400000000001E-3</v>
      </c>
      <c r="AB41" s="51">
        <v>5.0770499999999996E-3</v>
      </c>
      <c r="AC41" s="16">
        <v>0.54100400000000004</v>
      </c>
      <c r="AD41" s="50">
        <v>27889</v>
      </c>
      <c r="AE41" s="51">
        <v>6.8898800000000001E-3</v>
      </c>
      <c r="AF41" s="51">
        <v>4.4393999999999996E-3</v>
      </c>
      <c r="AG41" s="13">
        <v>7.9919900000000002E-2</v>
      </c>
      <c r="AH41" s="54">
        <v>15443</v>
      </c>
      <c r="AI41" s="51">
        <v>1.31042E-2</v>
      </c>
      <c r="AJ41" s="51">
        <v>1.6748300000000001E-2</v>
      </c>
      <c r="AK41" s="16">
        <v>0.39280799999999999</v>
      </c>
      <c r="AL41" s="50" t="s">
        <v>312</v>
      </c>
      <c r="AM41" s="51" t="s">
        <v>312</v>
      </c>
      <c r="AN41" s="51" t="s">
        <v>312</v>
      </c>
      <c r="AO41" s="13" t="s">
        <v>312</v>
      </c>
      <c r="AP41" s="54" t="s">
        <v>312</v>
      </c>
      <c r="AQ41" s="51" t="s">
        <v>312</v>
      </c>
      <c r="AR41" s="51" t="s">
        <v>312</v>
      </c>
      <c r="AS41" s="16" t="s">
        <v>312</v>
      </c>
      <c r="AT41" s="50">
        <v>199136</v>
      </c>
      <c r="AU41" s="51">
        <v>-4.7130999999999996E-3</v>
      </c>
      <c r="AV41" s="51">
        <v>3.4529999999999999E-3</v>
      </c>
      <c r="AW41" s="13">
        <v>0.1722109</v>
      </c>
      <c r="AX41" s="54">
        <v>190225</v>
      </c>
      <c r="AY41" s="51">
        <v>-1.2412E-3</v>
      </c>
      <c r="AZ41" s="51">
        <v>3.529E-3</v>
      </c>
      <c r="BA41" s="16">
        <v>0.72509500000000005</v>
      </c>
      <c r="BB41" s="50">
        <v>196942</v>
      </c>
      <c r="BC41" s="51">
        <v>5.1440000000000001E-3</v>
      </c>
      <c r="BD41" s="51">
        <v>3.4610000000000001E-3</v>
      </c>
      <c r="BE41" s="13">
        <v>0.1371811</v>
      </c>
      <c r="BF41" s="54">
        <v>201490</v>
      </c>
      <c r="BG41" s="51">
        <v>-2.7339999999999999E-3</v>
      </c>
      <c r="BH41" s="51">
        <v>3.4229999999999998E-3</v>
      </c>
      <c r="BI41" s="16">
        <v>0.424481</v>
      </c>
      <c r="BJ41" s="50">
        <v>102737</v>
      </c>
      <c r="BK41" s="51">
        <v>0.1305</v>
      </c>
      <c r="BL41" s="51">
        <v>5.1200000000000002E-2</v>
      </c>
      <c r="BM41" s="13">
        <v>1.0829999999999999E-2</v>
      </c>
      <c r="BN41" s="54">
        <v>102752</v>
      </c>
      <c r="BO41" s="51">
        <v>3.6700000000000003E-2</v>
      </c>
      <c r="BP41" s="51">
        <v>8.9499999999999996E-2</v>
      </c>
      <c r="BQ41" s="13">
        <v>0.68159999999999998</v>
      </c>
    </row>
    <row r="42" spans="1:69" x14ac:dyDescent="0.25">
      <c r="A42" s="1" t="s">
        <v>2045</v>
      </c>
      <c r="B42" s="1" t="s">
        <v>156</v>
      </c>
      <c r="C42" s="1">
        <v>15</v>
      </c>
      <c r="D42" s="1">
        <v>56756285</v>
      </c>
      <c r="E42" s="37" t="s">
        <v>157</v>
      </c>
      <c r="F42" s="654" t="s">
        <v>158</v>
      </c>
      <c r="G42" s="1" t="s">
        <v>24</v>
      </c>
      <c r="H42" s="1" t="s">
        <v>23</v>
      </c>
      <c r="I42" s="4">
        <v>9.5799999999999996E-2</v>
      </c>
      <c r="J42" s="50">
        <v>458927</v>
      </c>
      <c r="K42" s="51">
        <v>5.5108400000000004E-3</v>
      </c>
      <c r="L42" s="51">
        <v>3.73815E-3</v>
      </c>
      <c r="M42" s="13">
        <v>0.14042337999999999</v>
      </c>
      <c r="N42" s="61">
        <v>526508</v>
      </c>
      <c r="O42" s="51">
        <v>-7.6351400000000003E-3</v>
      </c>
      <c r="P42" s="51">
        <v>3.4243400000000001E-3</v>
      </c>
      <c r="Q42" s="13">
        <v>2.5769500000000001E-2</v>
      </c>
      <c r="R42" s="54">
        <v>69866.53</v>
      </c>
      <c r="S42" s="51">
        <v>-1.4999999999999999E-2</v>
      </c>
      <c r="T42" s="51">
        <v>2.1899999999999999E-2</v>
      </c>
      <c r="U42" s="16">
        <v>0.63880000000000003</v>
      </c>
      <c r="V42" s="50">
        <v>144034</v>
      </c>
      <c r="W42" s="51">
        <v>-1.0912999999999999E-4</v>
      </c>
      <c r="X42" s="51">
        <v>2.08873E-3</v>
      </c>
      <c r="Y42" s="13">
        <v>0.89682600000000001</v>
      </c>
      <c r="Z42" s="54">
        <v>104123</v>
      </c>
      <c r="AA42" s="51">
        <v>1.3751599999999999E-2</v>
      </c>
      <c r="AB42" s="51">
        <v>3.57968E-3</v>
      </c>
      <c r="AC42" s="16">
        <v>5.0309999999999998E-5</v>
      </c>
      <c r="AD42" s="50">
        <v>129646</v>
      </c>
      <c r="AE42" s="51">
        <v>5.9868300000000003E-3</v>
      </c>
      <c r="AF42" s="51">
        <v>3.2551500000000001E-3</v>
      </c>
      <c r="AG42" s="13">
        <v>6.02204E-2</v>
      </c>
      <c r="AH42" s="54">
        <v>57861</v>
      </c>
      <c r="AI42" s="51">
        <v>-2.2465100000000002E-3</v>
      </c>
      <c r="AJ42" s="51">
        <v>1.5148699999999999E-2</v>
      </c>
      <c r="AK42" s="16">
        <v>0.72843599999999997</v>
      </c>
      <c r="AL42" s="50">
        <v>125405</v>
      </c>
      <c r="AM42" s="51">
        <v>1.1999999999999999E-3</v>
      </c>
      <c r="AN42" s="51">
        <v>9.9000000000000008E-3</v>
      </c>
      <c r="AO42" s="13">
        <v>0.9</v>
      </c>
      <c r="AP42" s="54">
        <v>67842</v>
      </c>
      <c r="AQ42" s="51">
        <v>1.4E-3</v>
      </c>
      <c r="AR42" s="51">
        <v>3.56E-2</v>
      </c>
      <c r="AS42" s="16">
        <v>0.96930000000000005</v>
      </c>
      <c r="AT42" s="50">
        <v>314415</v>
      </c>
      <c r="AU42" s="51">
        <v>-1.8010000000000002E-2</v>
      </c>
      <c r="AV42" s="51">
        <v>4.4390000000000002E-3</v>
      </c>
      <c r="AW42" s="13">
        <v>4.99E-5</v>
      </c>
      <c r="AX42" s="54">
        <v>293853</v>
      </c>
      <c r="AY42" s="51">
        <v>-4.7635999999999998E-3</v>
      </c>
      <c r="AZ42" s="51">
        <v>4.6020000000000002E-3</v>
      </c>
      <c r="BA42" s="16">
        <v>0.30062899999999998</v>
      </c>
      <c r="BB42" s="50">
        <v>303685</v>
      </c>
      <c r="BC42" s="51">
        <v>-6.022E-4</v>
      </c>
      <c r="BD42" s="51">
        <v>4.5230000000000001E-3</v>
      </c>
      <c r="BE42" s="13">
        <v>0.89408200000000004</v>
      </c>
      <c r="BF42" s="54">
        <v>317660</v>
      </c>
      <c r="BG42" s="51">
        <v>-1.1193E-2</v>
      </c>
      <c r="BH42" s="51">
        <v>4.4130000000000003E-3</v>
      </c>
      <c r="BI42" s="16">
        <v>1.1199000000000001E-2</v>
      </c>
      <c r="BJ42" s="50">
        <v>187855</v>
      </c>
      <c r="BK42" s="51">
        <v>7.2900000000000006E-2</v>
      </c>
      <c r="BL42" s="51">
        <v>5.96E-2</v>
      </c>
      <c r="BM42" s="13">
        <v>0.22159999999999999</v>
      </c>
      <c r="BN42" s="54">
        <v>187825</v>
      </c>
      <c r="BO42" s="51">
        <v>1.5299999999999999E-2</v>
      </c>
      <c r="BP42" s="51">
        <v>9.9699999999999997E-2</v>
      </c>
      <c r="BQ42" s="13">
        <v>0.878</v>
      </c>
    </row>
    <row r="43" spans="1:69" x14ac:dyDescent="0.25">
      <c r="A43" s="1" t="s">
        <v>2046</v>
      </c>
      <c r="B43" s="1" t="s">
        <v>161</v>
      </c>
      <c r="C43" s="1">
        <v>16</v>
      </c>
      <c r="D43" s="1">
        <v>4432029</v>
      </c>
      <c r="E43" s="37" t="s">
        <v>948</v>
      </c>
      <c r="F43" s="654" t="s">
        <v>162</v>
      </c>
      <c r="G43" s="1" t="s">
        <v>16</v>
      </c>
      <c r="H43" s="1" t="s">
        <v>17</v>
      </c>
      <c r="I43" s="4">
        <v>0.23130000000000001</v>
      </c>
      <c r="J43" s="50">
        <v>405413</v>
      </c>
      <c r="K43" s="51">
        <v>-5.88713E-3</v>
      </c>
      <c r="L43" s="51">
        <v>2.7480899999999999E-3</v>
      </c>
      <c r="M43" s="13">
        <v>3.2172680000000002E-2</v>
      </c>
      <c r="N43" s="61">
        <v>473097</v>
      </c>
      <c r="O43" s="51">
        <v>-2.5713699999999999E-3</v>
      </c>
      <c r="P43" s="51">
        <v>2.5104200000000002E-3</v>
      </c>
      <c r="Q43" s="13">
        <v>0.30570257000000001</v>
      </c>
      <c r="R43" s="54">
        <v>56406</v>
      </c>
      <c r="S43" s="51">
        <v>4.9500000000000002E-2</v>
      </c>
      <c r="T43" s="51">
        <v>2.0299999999999999E-2</v>
      </c>
      <c r="U43" s="16">
        <v>1.8319999999999999E-2</v>
      </c>
      <c r="V43" s="50">
        <v>130266</v>
      </c>
      <c r="W43" s="51">
        <v>4.9467000000000001E-4</v>
      </c>
      <c r="X43" s="51">
        <v>1.5491700000000001E-3</v>
      </c>
      <c r="Y43" s="13">
        <v>0.56555100000000003</v>
      </c>
      <c r="Z43" s="54">
        <v>92616</v>
      </c>
      <c r="AA43" s="51">
        <v>2.6023600000000002E-3</v>
      </c>
      <c r="AB43" s="51">
        <v>2.5675899999999998E-3</v>
      </c>
      <c r="AC43" s="16">
        <v>0.14363000000000001</v>
      </c>
      <c r="AD43" s="50">
        <v>116806</v>
      </c>
      <c r="AE43" s="51">
        <v>3.3411999999999999E-3</v>
      </c>
      <c r="AF43" s="51">
        <v>2.33095E-3</v>
      </c>
      <c r="AG43" s="13">
        <v>0.15287300000000001</v>
      </c>
      <c r="AH43" s="54">
        <v>47125</v>
      </c>
      <c r="AI43" s="51">
        <v>1.0167900000000001E-2</v>
      </c>
      <c r="AJ43" s="51">
        <v>1.14836E-2</v>
      </c>
      <c r="AK43" s="16">
        <v>0.27473999999999998</v>
      </c>
      <c r="AL43" s="50">
        <v>132933</v>
      </c>
      <c r="AM43" s="51">
        <v>6.7000000000000002E-3</v>
      </c>
      <c r="AN43" s="51">
        <v>7.0000000000000001E-3</v>
      </c>
      <c r="AO43" s="13">
        <v>0.34420000000000001</v>
      </c>
      <c r="AP43" s="54">
        <v>69339</v>
      </c>
      <c r="AQ43" s="51">
        <v>7.5700000000000003E-2</v>
      </c>
      <c r="AR43" s="51">
        <v>2.7099999999999999E-2</v>
      </c>
      <c r="AS43" s="16">
        <v>5.2189999999999997E-3</v>
      </c>
      <c r="AT43" s="50">
        <v>289356</v>
      </c>
      <c r="AU43" s="51">
        <v>-2.2390000000000001E-3</v>
      </c>
      <c r="AV43" s="51">
        <v>3.1549999999999998E-3</v>
      </c>
      <c r="AW43" s="13">
        <v>0.47798200000000002</v>
      </c>
      <c r="AX43" s="54">
        <v>270310</v>
      </c>
      <c r="AY43" s="51">
        <v>-3.47E-3</v>
      </c>
      <c r="AZ43" s="51">
        <v>3.2659999999999998E-3</v>
      </c>
      <c r="BA43" s="16">
        <v>0.28809000000000001</v>
      </c>
      <c r="BB43" s="50">
        <v>278584</v>
      </c>
      <c r="BC43" s="51">
        <v>7.4954000000000002E-3</v>
      </c>
      <c r="BD43" s="51">
        <v>3.2190000000000001E-3</v>
      </c>
      <c r="BE43" s="13">
        <v>1.9871E-2</v>
      </c>
      <c r="BF43" s="54">
        <v>292548</v>
      </c>
      <c r="BG43" s="51">
        <v>-1.4140999999999999E-3</v>
      </c>
      <c r="BH43" s="51">
        <v>3.1389999999999999E-3</v>
      </c>
      <c r="BI43" s="16">
        <v>0.65232100000000004</v>
      </c>
      <c r="BJ43" s="50">
        <v>165842</v>
      </c>
      <c r="BK43" s="51">
        <v>5.7799999999999997E-2</v>
      </c>
      <c r="BL43" s="51">
        <v>4.3799999999999999E-2</v>
      </c>
      <c r="BM43" s="13">
        <v>0.18679999999999999</v>
      </c>
      <c r="BN43" s="54">
        <v>165802</v>
      </c>
      <c r="BO43" s="51">
        <v>0.17829999999999999</v>
      </c>
      <c r="BP43" s="51">
        <v>7.2900000000000006E-2</v>
      </c>
      <c r="BQ43" s="13">
        <v>1.443E-2</v>
      </c>
    </row>
    <row r="44" spans="1:69" x14ac:dyDescent="0.25">
      <c r="A44" s="1" t="s">
        <v>2047</v>
      </c>
      <c r="B44" s="1" t="s">
        <v>164</v>
      </c>
      <c r="C44" s="1">
        <v>16</v>
      </c>
      <c r="D44" s="1">
        <v>4445327</v>
      </c>
      <c r="E44" s="37" t="s">
        <v>949</v>
      </c>
      <c r="F44" s="654" t="s">
        <v>165</v>
      </c>
      <c r="G44" s="1" t="s">
        <v>17</v>
      </c>
      <c r="H44" s="1" t="s">
        <v>23</v>
      </c>
      <c r="I44" s="4">
        <v>0.29930000000000001</v>
      </c>
      <c r="J44" s="50">
        <v>432124</v>
      </c>
      <c r="K44" s="51">
        <v>-1.0443350000000001E-2</v>
      </c>
      <c r="L44" s="51">
        <v>2.5535699999999998E-3</v>
      </c>
      <c r="M44" s="13">
        <v>4.3189999999999998E-5</v>
      </c>
      <c r="N44" s="61">
        <v>499898</v>
      </c>
      <c r="O44" s="51">
        <v>2.0999E-3</v>
      </c>
      <c r="P44" s="51">
        <v>2.31642E-3</v>
      </c>
      <c r="Q44" s="13">
        <v>0.36465713</v>
      </c>
      <c r="R44" s="54">
        <v>59888.73</v>
      </c>
      <c r="S44" s="51">
        <v>5.0099999999999999E-2</v>
      </c>
      <c r="T44" s="51">
        <v>1.7000000000000001E-2</v>
      </c>
      <c r="U44" s="16">
        <v>1.4279999999999999E-2</v>
      </c>
      <c r="V44" s="50">
        <v>138046</v>
      </c>
      <c r="W44" s="51">
        <v>-4.4989999999999999E-4</v>
      </c>
      <c r="X44" s="51">
        <v>1.4128299999999999E-3</v>
      </c>
      <c r="Y44" s="13">
        <v>0.90046099999999996</v>
      </c>
      <c r="Z44" s="54">
        <v>103571</v>
      </c>
      <c r="AA44" s="51">
        <v>2.6248E-3</v>
      </c>
      <c r="AB44" s="51">
        <v>2.2930400000000001E-3</v>
      </c>
      <c r="AC44" s="16">
        <v>9.5643699999999998E-2</v>
      </c>
      <c r="AD44" s="50">
        <v>126918</v>
      </c>
      <c r="AE44" s="51">
        <v>3.3616200000000001E-3</v>
      </c>
      <c r="AF44" s="51">
        <v>2.1220000000000002E-3</v>
      </c>
      <c r="AG44" s="13">
        <v>0.15520900000000001</v>
      </c>
      <c r="AH44" s="54">
        <v>57315</v>
      </c>
      <c r="AI44" s="51">
        <v>4.9633200000000002E-3</v>
      </c>
      <c r="AJ44" s="51">
        <v>9.7308800000000008E-3</v>
      </c>
      <c r="AK44" s="16">
        <v>0.42987300000000001</v>
      </c>
      <c r="AL44" s="50">
        <v>132967</v>
      </c>
      <c r="AM44" s="51">
        <v>2.8999999999999998E-3</v>
      </c>
      <c r="AN44" s="51">
        <v>6.4999999999999997E-3</v>
      </c>
      <c r="AO44" s="13">
        <v>0.65749999999999997</v>
      </c>
      <c r="AP44" s="54">
        <v>69354</v>
      </c>
      <c r="AQ44" s="51">
        <v>5.8200000000000002E-2</v>
      </c>
      <c r="AR44" s="51">
        <v>2.4799999999999999E-2</v>
      </c>
      <c r="AS44" s="16">
        <v>1.9099999999999999E-2</v>
      </c>
      <c r="AT44" s="50">
        <v>295475</v>
      </c>
      <c r="AU44" s="51">
        <v>-4.1640000000000002E-3</v>
      </c>
      <c r="AV44" s="51">
        <v>2.9420000000000002E-3</v>
      </c>
      <c r="AW44" s="13">
        <v>0.15692</v>
      </c>
      <c r="AX44" s="54">
        <v>276356</v>
      </c>
      <c r="AY44" s="51">
        <v>-6.5539999999999999E-3</v>
      </c>
      <c r="AZ44" s="51">
        <v>3.0479999999999999E-3</v>
      </c>
      <c r="BA44" s="16">
        <v>3.1510000000000003E-2</v>
      </c>
      <c r="BB44" s="50">
        <v>284767</v>
      </c>
      <c r="BC44" s="51">
        <v>7.3379999999999999E-3</v>
      </c>
      <c r="BD44" s="51">
        <v>3.0010000000000002E-3</v>
      </c>
      <c r="BE44" s="13">
        <v>1.4465E-2</v>
      </c>
      <c r="BF44" s="54">
        <v>298725</v>
      </c>
      <c r="BG44" s="51">
        <v>-4.9715000000000002E-3</v>
      </c>
      <c r="BH44" s="51">
        <v>2.9260000000000002E-3</v>
      </c>
      <c r="BI44" s="16">
        <v>8.9250999999999997E-2</v>
      </c>
      <c r="BJ44" s="50">
        <v>164521</v>
      </c>
      <c r="BK44" s="51">
        <v>3.3799999999999997E-2</v>
      </c>
      <c r="BL44" s="51">
        <v>4.1399999999999999E-2</v>
      </c>
      <c r="BM44" s="13">
        <v>0.41310000000000002</v>
      </c>
      <c r="BN44" s="54">
        <v>164481</v>
      </c>
      <c r="BO44" s="51">
        <v>9.5799999999999996E-2</v>
      </c>
      <c r="BP44" s="51">
        <v>6.88E-2</v>
      </c>
      <c r="BQ44" s="13">
        <v>0.1636</v>
      </c>
    </row>
    <row r="45" spans="1:69" x14ac:dyDescent="0.25">
      <c r="A45" s="1" t="s">
        <v>2048</v>
      </c>
      <c r="B45" s="1" t="s">
        <v>167</v>
      </c>
      <c r="C45" s="1">
        <v>16</v>
      </c>
      <c r="D45" s="1">
        <v>4484396</v>
      </c>
      <c r="E45" s="37" t="s">
        <v>950</v>
      </c>
      <c r="F45" s="654" t="s">
        <v>168</v>
      </c>
      <c r="G45" s="1" t="s">
        <v>16</v>
      </c>
      <c r="H45" s="1" t="s">
        <v>23</v>
      </c>
      <c r="I45" s="4">
        <v>0.28410000000000002</v>
      </c>
      <c r="J45" s="50">
        <v>427871</v>
      </c>
      <c r="K45" s="51">
        <v>-5.7676699999999999E-3</v>
      </c>
      <c r="L45" s="51">
        <v>2.5268199999999999E-3</v>
      </c>
      <c r="M45" s="13">
        <v>2.2455010000000001E-2</v>
      </c>
      <c r="N45" s="61">
        <v>475118</v>
      </c>
      <c r="O45" s="51">
        <v>8.0630000000000006E-5</v>
      </c>
      <c r="P45" s="51">
        <v>2.3530500000000002E-3</v>
      </c>
      <c r="Q45" s="13">
        <v>0.97266419999999998</v>
      </c>
      <c r="R45" s="54">
        <v>69864.22</v>
      </c>
      <c r="S45" s="51">
        <v>3.5400000000000001E-2</v>
      </c>
      <c r="T45" s="51">
        <v>1.7000000000000001E-2</v>
      </c>
      <c r="U45" s="16">
        <v>2.2120000000000001E-2</v>
      </c>
      <c r="V45" s="50">
        <v>130795</v>
      </c>
      <c r="W45" s="51">
        <v>-2.2418899999999999E-3</v>
      </c>
      <c r="X45" s="51">
        <v>1.4611699999999999E-3</v>
      </c>
      <c r="Y45" s="13">
        <v>0.14713999999999999</v>
      </c>
      <c r="Z45" s="54">
        <v>96308</v>
      </c>
      <c r="AA45" s="51">
        <v>2.6965800000000001E-3</v>
      </c>
      <c r="AB45" s="51">
        <v>2.3351600000000002E-3</v>
      </c>
      <c r="AC45" s="16">
        <v>7.6407699999999995E-2</v>
      </c>
      <c r="AD45" s="50">
        <v>116376</v>
      </c>
      <c r="AE45" s="51">
        <v>-7.2181000000000003E-4</v>
      </c>
      <c r="AF45" s="51">
        <v>2.1977500000000001E-3</v>
      </c>
      <c r="AG45" s="13">
        <v>0.71681600000000001</v>
      </c>
      <c r="AH45" s="54">
        <v>56214</v>
      </c>
      <c r="AI45" s="51">
        <v>-1.8224199999999999E-3</v>
      </c>
      <c r="AJ45" s="51">
        <v>9.7855000000000008E-3</v>
      </c>
      <c r="AK45" s="16">
        <v>0.87485100000000005</v>
      </c>
      <c r="AL45" s="50" t="s">
        <v>312</v>
      </c>
      <c r="AM45" s="51" t="s">
        <v>312</v>
      </c>
      <c r="AN45" s="51" t="s">
        <v>312</v>
      </c>
      <c r="AO45" s="13" t="s">
        <v>312</v>
      </c>
      <c r="AP45" s="54" t="s">
        <v>312</v>
      </c>
      <c r="AQ45" s="51" t="s">
        <v>312</v>
      </c>
      <c r="AR45" s="51" t="s">
        <v>312</v>
      </c>
      <c r="AS45" s="16" t="s">
        <v>312</v>
      </c>
      <c r="AT45" s="50">
        <v>295475</v>
      </c>
      <c r="AU45" s="51">
        <v>-8.5089999999999992E-3</v>
      </c>
      <c r="AV45" s="51">
        <v>2.9250000000000001E-3</v>
      </c>
      <c r="AW45" s="13">
        <v>3.6310000000000001E-3</v>
      </c>
      <c r="AX45" s="54">
        <v>276356</v>
      </c>
      <c r="AY45" s="51">
        <v>-5.8380000000000003E-3</v>
      </c>
      <c r="AZ45" s="51">
        <v>3.0270000000000002E-3</v>
      </c>
      <c r="BA45" s="16">
        <v>5.3800000000000001E-2</v>
      </c>
      <c r="BB45" s="50">
        <v>284767</v>
      </c>
      <c r="BC45" s="51">
        <v>9.5031999999999998E-3</v>
      </c>
      <c r="BD45" s="51">
        <v>2.983E-3</v>
      </c>
      <c r="BE45" s="13">
        <v>1.444E-3</v>
      </c>
      <c r="BF45" s="54">
        <v>298725</v>
      </c>
      <c r="BG45" s="51">
        <v>-3.8947999999999999E-3</v>
      </c>
      <c r="BH45" s="51">
        <v>2.9090000000000001E-3</v>
      </c>
      <c r="BI45" s="16">
        <v>0.18066299999999999</v>
      </c>
      <c r="BJ45" s="50">
        <v>139398</v>
      </c>
      <c r="BK45" s="51">
        <v>4.4400000000000002E-2</v>
      </c>
      <c r="BL45" s="51">
        <v>4.4900000000000002E-2</v>
      </c>
      <c r="BM45" s="13">
        <v>0.32319999999999999</v>
      </c>
      <c r="BN45" s="54">
        <v>139397</v>
      </c>
      <c r="BO45" s="51">
        <v>0.1711</v>
      </c>
      <c r="BP45" s="51">
        <v>7.4300000000000005E-2</v>
      </c>
      <c r="BQ45" s="13">
        <v>2.1250000000000002E-2</v>
      </c>
    </row>
    <row r="46" spans="1:69" x14ac:dyDescent="0.25">
      <c r="A46" s="177" t="s">
        <v>2049</v>
      </c>
      <c r="B46" s="177" t="s">
        <v>170</v>
      </c>
      <c r="C46" s="177">
        <v>16</v>
      </c>
      <c r="D46" s="177">
        <v>67397580</v>
      </c>
      <c r="E46" s="39" t="s">
        <v>171</v>
      </c>
      <c r="F46" s="654" t="s">
        <v>172</v>
      </c>
      <c r="G46" s="177" t="s">
        <v>24</v>
      </c>
      <c r="H46" s="177" t="s">
        <v>17</v>
      </c>
      <c r="I46" s="29">
        <v>0.93830000000000002</v>
      </c>
      <c r="J46" s="50">
        <v>425348</v>
      </c>
      <c r="K46" s="51">
        <v>3.8597949999999999E-2</v>
      </c>
      <c r="L46" s="51">
        <v>4.8615400000000001E-3</v>
      </c>
      <c r="M46" s="13">
        <v>2.0000000000000002E-5</v>
      </c>
      <c r="N46" s="61">
        <v>496804</v>
      </c>
      <c r="O46" s="51">
        <v>1.71865E-3</v>
      </c>
      <c r="P46" s="51">
        <v>4.5070600000000002E-3</v>
      </c>
      <c r="Q46" s="13">
        <v>0.70296232999999997</v>
      </c>
      <c r="R46" s="54">
        <v>69866.16</v>
      </c>
      <c r="S46" s="51">
        <v>-3.7600000000000001E-2</v>
      </c>
      <c r="T46" s="51">
        <v>3.09E-2</v>
      </c>
      <c r="U46" s="16">
        <v>0.1651</v>
      </c>
      <c r="V46" s="50">
        <v>134672</v>
      </c>
      <c r="W46" s="51">
        <v>5.6450000000000003E-5</v>
      </c>
      <c r="X46" s="51">
        <v>2.93487E-3</v>
      </c>
      <c r="Y46" s="13">
        <v>0.853935</v>
      </c>
      <c r="Z46" s="54">
        <v>96743</v>
      </c>
      <c r="AA46" s="51">
        <v>1.33207E-2</v>
      </c>
      <c r="AB46" s="51">
        <v>4.4811199999999999E-3</v>
      </c>
      <c r="AC46" s="16">
        <v>2.3013E-3</v>
      </c>
      <c r="AD46" s="50">
        <v>111902</v>
      </c>
      <c r="AE46" s="51">
        <v>9.4431500000000008E-3</v>
      </c>
      <c r="AF46" s="51">
        <v>4.2439000000000001E-3</v>
      </c>
      <c r="AG46" s="13">
        <v>2.7469500000000001E-2</v>
      </c>
      <c r="AH46" s="54">
        <v>57320</v>
      </c>
      <c r="AI46" s="51">
        <v>2.87374E-2</v>
      </c>
      <c r="AJ46" s="51">
        <v>2.0653999999999999E-2</v>
      </c>
      <c r="AK46" s="16">
        <v>0.21836800000000001</v>
      </c>
      <c r="AL46" s="50">
        <v>122516</v>
      </c>
      <c r="AM46" s="51">
        <v>-1.29E-2</v>
      </c>
      <c r="AN46" s="51">
        <v>1.8599999999999998E-2</v>
      </c>
      <c r="AO46" s="13">
        <v>0.48930000000000001</v>
      </c>
      <c r="AP46" s="54">
        <v>67585</v>
      </c>
      <c r="AQ46" s="51">
        <v>-0.1525</v>
      </c>
      <c r="AR46" s="51">
        <v>6.7299999999999999E-2</v>
      </c>
      <c r="AS46" s="16">
        <v>2.3439999999999999E-2</v>
      </c>
      <c r="AT46" s="50">
        <v>308741</v>
      </c>
      <c r="AU46" s="51">
        <v>-1.0168699999999999E-2</v>
      </c>
      <c r="AV46" s="51">
        <v>5.5279999999999999E-3</v>
      </c>
      <c r="AW46" s="13">
        <v>6.5839999999999996E-2</v>
      </c>
      <c r="AX46" s="54">
        <v>288229</v>
      </c>
      <c r="AY46" s="51">
        <v>-1.7075E-2</v>
      </c>
      <c r="AZ46" s="51">
        <v>5.6959999999999997E-3</v>
      </c>
      <c r="BA46" s="16">
        <v>2.7190000000000001E-3</v>
      </c>
      <c r="BB46" s="50">
        <v>297903</v>
      </c>
      <c r="BC46" s="51">
        <v>3.0891E-3</v>
      </c>
      <c r="BD46" s="51">
        <v>5.5989999999999998E-3</v>
      </c>
      <c r="BE46" s="13">
        <v>0.58112399999999997</v>
      </c>
      <c r="BF46" s="54">
        <v>311865</v>
      </c>
      <c r="BG46" s="51">
        <v>-1.7461500000000001E-2</v>
      </c>
      <c r="BH46" s="51">
        <v>5.5019999999999999E-3</v>
      </c>
      <c r="BI46" s="16">
        <v>1.506E-3</v>
      </c>
      <c r="BJ46" s="50">
        <v>170833</v>
      </c>
      <c r="BK46" s="51">
        <v>0.22620000000000001</v>
      </c>
      <c r="BL46" s="51">
        <v>8.4900000000000003E-2</v>
      </c>
      <c r="BM46" s="13">
        <v>7.7489999999999998E-3</v>
      </c>
      <c r="BN46" s="54">
        <v>170842</v>
      </c>
      <c r="BO46" s="51">
        <v>0.39329999999999998</v>
      </c>
      <c r="BP46" s="51">
        <v>0.14269999999999999</v>
      </c>
      <c r="BQ46" s="13">
        <v>5.8690000000000001E-3</v>
      </c>
    </row>
    <row r="47" spans="1:69" x14ac:dyDescent="0.25">
      <c r="A47" s="1" t="s">
        <v>2050</v>
      </c>
      <c r="B47" s="1" t="s">
        <v>175</v>
      </c>
      <c r="C47" s="1">
        <v>16</v>
      </c>
      <c r="D47" s="1">
        <v>67409180</v>
      </c>
      <c r="E47" s="37" t="s">
        <v>171</v>
      </c>
      <c r="F47" s="654" t="s">
        <v>176</v>
      </c>
      <c r="G47" s="1" t="s">
        <v>24</v>
      </c>
      <c r="H47" s="1" t="s">
        <v>16</v>
      </c>
      <c r="I47" s="4">
        <v>0.93869999999999998</v>
      </c>
      <c r="J47" s="50">
        <v>433763</v>
      </c>
      <c r="K47" s="51">
        <v>3.9207569999999997E-2</v>
      </c>
      <c r="L47" s="51">
        <v>4.83601E-3</v>
      </c>
      <c r="M47" s="13">
        <v>2.0000000000000002E-5</v>
      </c>
      <c r="N47" s="61">
        <v>501333</v>
      </c>
      <c r="O47" s="51">
        <v>2.2654900000000002E-3</v>
      </c>
      <c r="P47" s="51">
        <v>4.4974300000000002E-3</v>
      </c>
      <c r="Q47" s="13">
        <v>0.61445079999999996</v>
      </c>
      <c r="R47" s="54">
        <v>69866.53</v>
      </c>
      <c r="S47" s="51">
        <v>-3.9699999999999999E-2</v>
      </c>
      <c r="T47" s="51">
        <v>3.09E-2</v>
      </c>
      <c r="U47" s="16">
        <v>0.15129999999999999</v>
      </c>
      <c r="V47" s="50">
        <v>140576</v>
      </c>
      <c r="W47" s="51">
        <v>-1.9948000000000001E-4</v>
      </c>
      <c r="X47" s="51">
        <v>2.85783E-3</v>
      </c>
      <c r="Y47" s="13">
        <v>0.79937499999999995</v>
      </c>
      <c r="Z47" s="54">
        <v>103625</v>
      </c>
      <c r="AA47" s="51">
        <v>1.26997E-2</v>
      </c>
      <c r="AB47" s="51">
        <v>4.4063699999999997E-3</v>
      </c>
      <c r="AC47" s="16">
        <v>3.0217500000000001E-3</v>
      </c>
      <c r="AD47" s="50">
        <v>122095</v>
      </c>
      <c r="AE47" s="51">
        <v>1.07747E-2</v>
      </c>
      <c r="AF47" s="51">
        <v>4.1332699999999997E-3</v>
      </c>
      <c r="AG47" s="13">
        <v>1.11463E-2</v>
      </c>
      <c r="AH47" s="54">
        <v>57368</v>
      </c>
      <c r="AI47" s="51">
        <v>3.1949999999999999E-2</v>
      </c>
      <c r="AJ47" s="51">
        <v>2.0678599999999998E-2</v>
      </c>
      <c r="AK47" s="16">
        <v>0.166132</v>
      </c>
      <c r="AL47" s="50">
        <v>122507</v>
      </c>
      <c r="AM47" s="51">
        <v>-1.0500000000000001E-2</v>
      </c>
      <c r="AN47" s="51">
        <v>1.8599999999999998E-2</v>
      </c>
      <c r="AO47" s="13">
        <v>0.57320000000000004</v>
      </c>
      <c r="AP47" s="54">
        <v>67582</v>
      </c>
      <c r="AQ47" s="51">
        <v>-0.1542</v>
      </c>
      <c r="AR47" s="51">
        <v>6.7299999999999999E-2</v>
      </c>
      <c r="AS47" s="16">
        <v>2.1909999999999999E-2</v>
      </c>
      <c r="AT47" s="50">
        <v>308741</v>
      </c>
      <c r="AU47" s="51">
        <v>-9.9545999999999992E-3</v>
      </c>
      <c r="AV47" s="51">
        <v>5.5290000000000001E-3</v>
      </c>
      <c r="AW47" s="13">
        <v>7.1779999999999997E-2</v>
      </c>
      <c r="AX47" s="54">
        <v>288229</v>
      </c>
      <c r="AY47" s="51">
        <v>-1.7240999999999999E-2</v>
      </c>
      <c r="AZ47" s="51">
        <v>5.6969999999999998E-3</v>
      </c>
      <c r="BA47" s="16">
        <v>2.477E-3</v>
      </c>
      <c r="BB47" s="50">
        <v>297903</v>
      </c>
      <c r="BC47" s="51">
        <v>2.8657000000000001E-3</v>
      </c>
      <c r="BD47" s="51">
        <v>5.5999999999999999E-3</v>
      </c>
      <c r="BE47" s="13">
        <v>0.60884799999999994</v>
      </c>
      <c r="BF47" s="54">
        <v>311865</v>
      </c>
      <c r="BG47" s="51">
        <v>-1.7668300000000001E-2</v>
      </c>
      <c r="BH47" s="51">
        <v>5.5030000000000001E-3</v>
      </c>
      <c r="BI47" s="16">
        <v>1.3240000000000001E-3</v>
      </c>
      <c r="BJ47" s="50">
        <v>187853</v>
      </c>
      <c r="BK47" s="51">
        <v>0.2374</v>
      </c>
      <c r="BL47" s="51">
        <v>8.1799999999999998E-2</v>
      </c>
      <c r="BM47" s="13">
        <v>3.7079999999999999E-3</v>
      </c>
      <c r="BN47" s="54">
        <v>187823</v>
      </c>
      <c r="BO47" s="51">
        <v>0.40600000000000003</v>
      </c>
      <c r="BP47" s="51">
        <v>0.13750000000000001</v>
      </c>
      <c r="BQ47" s="13">
        <v>3.1540000000000001E-3</v>
      </c>
    </row>
    <row r="48" spans="1:69" x14ac:dyDescent="0.25">
      <c r="A48" s="1" t="s">
        <v>2051</v>
      </c>
      <c r="B48" s="1" t="s">
        <v>178</v>
      </c>
      <c r="C48" s="1">
        <v>19</v>
      </c>
      <c r="D48" s="1">
        <v>18285944</v>
      </c>
      <c r="E48" s="37" t="s">
        <v>957</v>
      </c>
      <c r="F48" s="654" t="s">
        <v>207</v>
      </c>
      <c r="G48" s="1" t="s">
        <v>16</v>
      </c>
      <c r="H48" s="1" t="s">
        <v>24</v>
      </c>
      <c r="I48" s="4">
        <v>0.2571</v>
      </c>
      <c r="J48" s="50">
        <v>456491</v>
      </c>
      <c r="K48" s="51">
        <v>3.49892E-3</v>
      </c>
      <c r="L48" s="51">
        <v>2.6249699999999999E-3</v>
      </c>
      <c r="M48" s="13">
        <v>0.18255217000000001</v>
      </c>
      <c r="N48" s="61">
        <v>524754</v>
      </c>
      <c r="O48" s="51">
        <v>1.4909560000000001E-2</v>
      </c>
      <c r="P48" s="51">
        <v>2.3605399999999999E-3</v>
      </c>
      <c r="Q48" s="13">
        <v>2.0000000000000002E-5</v>
      </c>
      <c r="R48" s="54">
        <v>69866.16</v>
      </c>
      <c r="S48" s="51">
        <v>3.0999999999999999E-3</v>
      </c>
      <c r="T48" s="51">
        <v>1.47E-2</v>
      </c>
      <c r="U48" s="16">
        <v>0.78680000000000005</v>
      </c>
      <c r="V48" s="50">
        <v>144004</v>
      </c>
      <c r="W48" s="51">
        <v>-7.5075000000000001E-4</v>
      </c>
      <c r="X48" s="51">
        <v>1.4570500000000001E-3</v>
      </c>
      <c r="Y48" s="13">
        <v>0.49251800000000001</v>
      </c>
      <c r="Z48" s="54">
        <v>104062</v>
      </c>
      <c r="AA48" s="51">
        <v>4.7894299999999999E-3</v>
      </c>
      <c r="AB48" s="51">
        <v>2.3602100000000002E-3</v>
      </c>
      <c r="AC48" s="16">
        <v>4.7940200000000002E-2</v>
      </c>
      <c r="AD48" s="50">
        <v>129584</v>
      </c>
      <c r="AE48" s="51">
        <v>-1.0399000000000001E-3</v>
      </c>
      <c r="AF48" s="51">
        <v>2.1682099999999998E-3</v>
      </c>
      <c r="AG48" s="13">
        <v>0.46129500000000001</v>
      </c>
      <c r="AH48" s="54">
        <v>57832</v>
      </c>
      <c r="AI48" s="51">
        <v>6.25868E-3</v>
      </c>
      <c r="AJ48" s="51">
        <v>1.0032599999999999E-2</v>
      </c>
      <c r="AK48" s="16">
        <v>0.42836999999999997</v>
      </c>
      <c r="AL48" s="50" t="s">
        <v>312</v>
      </c>
      <c r="AM48" s="51" t="s">
        <v>312</v>
      </c>
      <c r="AN48" s="51" t="s">
        <v>312</v>
      </c>
      <c r="AO48" s="13" t="s">
        <v>312</v>
      </c>
      <c r="AP48" s="54" t="s">
        <v>312</v>
      </c>
      <c r="AQ48" s="51" t="s">
        <v>312</v>
      </c>
      <c r="AR48" s="51" t="s">
        <v>312</v>
      </c>
      <c r="AS48" s="16" t="s">
        <v>312</v>
      </c>
      <c r="AT48" s="50">
        <v>316391</v>
      </c>
      <c r="AU48" s="51">
        <v>1.176E-3</v>
      </c>
      <c r="AV48" s="51">
        <v>2.954E-3</v>
      </c>
      <c r="AW48" s="13">
        <v>0.6905</v>
      </c>
      <c r="AX48" s="54">
        <v>295826</v>
      </c>
      <c r="AY48" s="51">
        <v>1.51506E-2</v>
      </c>
      <c r="AZ48" s="51">
        <v>3.0620000000000001E-3</v>
      </c>
      <c r="BA48" s="16">
        <v>2.0000000000000002E-5</v>
      </c>
      <c r="BB48" s="50">
        <v>305699</v>
      </c>
      <c r="BC48" s="51">
        <v>3.3417E-3</v>
      </c>
      <c r="BD48" s="51">
        <v>3.0100000000000001E-3</v>
      </c>
      <c r="BE48" s="13">
        <v>0.26695780000000002</v>
      </c>
      <c r="BF48" s="54">
        <v>319677</v>
      </c>
      <c r="BG48" s="51">
        <v>1.4605699999999999E-2</v>
      </c>
      <c r="BH48" s="51">
        <v>2.9369999999999999E-3</v>
      </c>
      <c r="BI48" s="16">
        <v>2.0000000000000002E-5</v>
      </c>
      <c r="BJ48" s="50">
        <v>187824</v>
      </c>
      <c r="BK48" s="51">
        <v>4.4299999999999999E-2</v>
      </c>
      <c r="BL48" s="51">
        <v>4.0300000000000002E-2</v>
      </c>
      <c r="BM48" s="13">
        <v>0.27229999999999999</v>
      </c>
      <c r="BN48" s="54">
        <v>187794</v>
      </c>
      <c r="BO48" s="51">
        <v>7.3899999999999993E-2</v>
      </c>
      <c r="BP48" s="51">
        <v>6.7500000000000004E-2</v>
      </c>
      <c r="BQ48" s="13">
        <v>0.27379999999999999</v>
      </c>
    </row>
    <row r="49" spans="1:69" x14ac:dyDescent="0.25">
      <c r="A49" s="1" t="s">
        <v>2052</v>
      </c>
      <c r="B49" s="1" t="s">
        <v>182</v>
      </c>
      <c r="C49" s="1">
        <v>19</v>
      </c>
      <c r="D49" s="1">
        <v>18304700</v>
      </c>
      <c r="E49" s="37" t="s">
        <v>958</v>
      </c>
      <c r="F49" s="654" t="s">
        <v>179</v>
      </c>
      <c r="G49" s="1" t="s">
        <v>24</v>
      </c>
      <c r="H49" s="1" t="s">
        <v>16</v>
      </c>
      <c r="I49" s="4">
        <v>0.2707</v>
      </c>
      <c r="J49" s="50">
        <v>458253</v>
      </c>
      <c r="K49" s="51">
        <v>3.8317799999999999E-3</v>
      </c>
      <c r="L49" s="51">
        <v>2.5743300000000001E-3</v>
      </c>
      <c r="M49" s="13">
        <v>0.13662959</v>
      </c>
      <c r="N49" s="61">
        <v>526508</v>
      </c>
      <c r="O49" s="51">
        <v>1.3082450000000001E-2</v>
      </c>
      <c r="P49" s="51">
        <v>2.3178500000000002E-3</v>
      </c>
      <c r="Q49" s="13">
        <v>2.0000000000000002E-5</v>
      </c>
      <c r="R49" s="54">
        <v>69865.53</v>
      </c>
      <c r="S49" s="51">
        <v>8.6999999999999994E-3</v>
      </c>
      <c r="T49" s="51">
        <v>1.44E-2</v>
      </c>
      <c r="U49" s="16">
        <v>0.48409999999999997</v>
      </c>
      <c r="V49" s="50">
        <v>144019</v>
      </c>
      <c r="W49" s="51">
        <v>-1.55361E-3</v>
      </c>
      <c r="X49" s="51">
        <v>1.43501E-3</v>
      </c>
      <c r="Y49" s="13">
        <v>0.27677400000000002</v>
      </c>
      <c r="Z49" s="54">
        <v>104103</v>
      </c>
      <c r="AA49" s="51">
        <v>4.8163800000000003E-3</v>
      </c>
      <c r="AB49" s="51">
        <v>2.3313800000000001E-3</v>
      </c>
      <c r="AC49" s="16">
        <v>4.2597799999999998E-2</v>
      </c>
      <c r="AD49" s="50">
        <v>129621</v>
      </c>
      <c r="AE49" s="51">
        <v>-1.32479E-3</v>
      </c>
      <c r="AF49" s="51">
        <v>2.1409799999999998E-3</v>
      </c>
      <c r="AG49" s="13">
        <v>0.40748699999999999</v>
      </c>
      <c r="AH49" s="54">
        <v>57851</v>
      </c>
      <c r="AI49" s="51">
        <v>6.5422600000000003E-3</v>
      </c>
      <c r="AJ49" s="51">
        <v>9.8794799999999995E-3</v>
      </c>
      <c r="AK49" s="16">
        <v>0.39772999999999997</v>
      </c>
      <c r="AL49" s="50">
        <v>132949</v>
      </c>
      <c r="AM49" s="51">
        <v>-1.9E-2</v>
      </c>
      <c r="AN49" s="51">
        <v>6.4000000000000003E-3</v>
      </c>
      <c r="AO49" s="13">
        <v>2.9060000000000002E-3</v>
      </c>
      <c r="AP49" s="54">
        <v>69352</v>
      </c>
      <c r="AQ49" s="51">
        <v>2.0999999999999999E-3</v>
      </c>
      <c r="AR49" s="51">
        <v>2.2599999999999999E-2</v>
      </c>
      <c r="AS49" s="16">
        <v>0.92500000000000004</v>
      </c>
      <c r="AT49" s="50">
        <v>316391</v>
      </c>
      <c r="AU49" s="51">
        <v>5.2930000000000002E-4</v>
      </c>
      <c r="AV49" s="51">
        <v>2.9139999999999999E-3</v>
      </c>
      <c r="AW49" s="13">
        <v>0.85589999999999999</v>
      </c>
      <c r="AX49" s="54">
        <v>295826</v>
      </c>
      <c r="AY49" s="51">
        <v>1.45906E-2</v>
      </c>
      <c r="AZ49" s="51">
        <v>3.0200000000000001E-3</v>
      </c>
      <c r="BA49" s="16">
        <v>2.0000000000000002E-5</v>
      </c>
      <c r="BB49" s="50">
        <v>305699</v>
      </c>
      <c r="BC49" s="51">
        <v>5.3914999999999996E-3</v>
      </c>
      <c r="BD49" s="51">
        <v>2.97E-3</v>
      </c>
      <c r="BE49" s="13">
        <v>6.9446099999999997E-2</v>
      </c>
      <c r="BF49" s="54">
        <v>319677</v>
      </c>
      <c r="BG49" s="51">
        <v>1.50475E-2</v>
      </c>
      <c r="BH49" s="51">
        <v>2.8969999999999998E-3</v>
      </c>
      <c r="BI49" s="16">
        <v>2.0000000000000002E-5</v>
      </c>
      <c r="BJ49" s="50">
        <v>187811</v>
      </c>
      <c r="BK49" s="51">
        <v>3.2899999999999999E-2</v>
      </c>
      <c r="BL49" s="51">
        <v>3.9600000000000003E-2</v>
      </c>
      <c r="BM49" s="13">
        <v>0.40620000000000001</v>
      </c>
      <c r="BN49" s="54">
        <v>187781</v>
      </c>
      <c r="BO49" s="51">
        <v>5.3900000000000003E-2</v>
      </c>
      <c r="BP49" s="51">
        <v>6.6400000000000001E-2</v>
      </c>
      <c r="BQ49" s="13">
        <v>0.41720000000000002</v>
      </c>
    </row>
    <row r="50" spans="1:69" x14ac:dyDescent="0.25">
      <c r="A50" s="1" t="s">
        <v>2053</v>
      </c>
      <c r="B50" s="1" t="s">
        <v>185</v>
      </c>
      <c r="C50" s="1">
        <v>19</v>
      </c>
      <c r="D50" s="1">
        <v>49232226</v>
      </c>
      <c r="E50" s="37" t="s">
        <v>186</v>
      </c>
      <c r="F50" s="654" t="s">
        <v>183</v>
      </c>
      <c r="G50" s="1" t="s">
        <v>16</v>
      </c>
      <c r="H50" s="1" t="s">
        <v>24</v>
      </c>
      <c r="I50" s="4">
        <v>0.49430000000000002</v>
      </c>
      <c r="J50" s="50">
        <v>373905</v>
      </c>
      <c r="K50" s="51">
        <v>-1.1549419999999999E-2</v>
      </c>
      <c r="L50" s="51">
        <v>2.6423100000000001E-3</v>
      </c>
      <c r="M50" s="13">
        <v>2.0000000000000002E-5</v>
      </c>
      <c r="N50" s="61">
        <v>433179</v>
      </c>
      <c r="O50" s="51">
        <v>-3.88953E-3</v>
      </c>
      <c r="P50" s="51">
        <v>2.34089E-3</v>
      </c>
      <c r="Q50" s="13">
        <v>9.6601030000000004E-2</v>
      </c>
      <c r="R50" s="54">
        <v>57762.559999999998</v>
      </c>
      <c r="S50" s="51">
        <v>-1.9099999999999999E-2</v>
      </c>
      <c r="T50" s="51">
        <v>1.49E-2</v>
      </c>
      <c r="U50" s="16">
        <v>5.2979999999999999E-2</v>
      </c>
      <c r="V50" s="50">
        <v>122117</v>
      </c>
      <c r="W50" s="51">
        <v>-1.16669E-3</v>
      </c>
      <c r="X50" s="51">
        <v>1.4087100000000001E-3</v>
      </c>
      <c r="Y50" s="13">
        <v>0.431454</v>
      </c>
      <c r="Z50" s="54">
        <v>95018</v>
      </c>
      <c r="AA50" s="51">
        <v>1.07711E-2</v>
      </c>
      <c r="AB50" s="51">
        <v>2.25779E-3</v>
      </c>
      <c r="AC50" s="16">
        <v>2.0000000000000002E-5</v>
      </c>
      <c r="AD50" s="50">
        <v>118906</v>
      </c>
      <c r="AE50" s="51">
        <v>2.91442E-3</v>
      </c>
      <c r="AF50" s="51">
        <v>2.0548099999999998E-3</v>
      </c>
      <c r="AG50" s="13">
        <v>0.12758900000000001</v>
      </c>
      <c r="AH50" s="54">
        <v>54930</v>
      </c>
      <c r="AI50" s="51">
        <v>-1.8714000000000001E-2</v>
      </c>
      <c r="AJ50" s="51">
        <v>9.0556200000000003E-3</v>
      </c>
      <c r="AK50" s="16">
        <v>4.77133E-2</v>
      </c>
      <c r="AL50" s="50" t="s">
        <v>312</v>
      </c>
      <c r="AM50" s="51" t="s">
        <v>312</v>
      </c>
      <c r="AN50" s="51" t="s">
        <v>312</v>
      </c>
      <c r="AO50" s="13" t="s">
        <v>312</v>
      </c>
      <c r="AP50" s="54" t="s">
        <v>312</v>
      </c>
      <c r="AQ50" s="51" t="s">
        <v>312</v>
      </c>
      <c r="AR50" s="51" t="s">
        <v>312</v>
      </c>
      <c r="AS50" s="16" t="s">
        <v>312</v>
      </c>
      <c r="AT50" s="50">
        <v>286746</v>
      </c>
      <c r="AU50" s="51">
        <v>-4.7699999999999999E-3</v>
      </c>
      <c r="AV50" s="51">
        <v>2.7520000000000001E-3</v>
      </c>
      <c r="AW50" s="13">
        <v>8.3060999999999996E-2</v>
      </c>
      <c r="AX50" s="54">
        <v>267631</v>
      </c>
      <c r="AY50" s="51">
        <v>2.5522E-2</v>
      </c>
      <c r="AZ50" s="51">
        <v>2.8509999999999998E-3</v>
      </c>
      <c r="BA50" s="16">
        <v>2.0000000000000002E-5</v>
      </c>
      <c r="BB50" s="50">
        <v>276022</v>
      </c>
      <c r="BC50" s="51">
        <v>1.9373000000000001E-2</v>
      </c>
      <c r="BD50" s="51">
        <v>2.8029999999999999E-3</v>
      </c>
      <c r="BE50" s="13">
        <v>2.0000000000000002E-5</v>
      </c>
      <c r="BF50" s="54">
        <v>289995</v>
      </c>
      <c r="BG50" s="51">
        <v>2.8629700000000001E-2</v>
      </c>
      <c r="BH50" s="51">
        <v>2.7330000000000002E-3</v>
      </c>
      <c r="BI50" s="16">
        <v>2.0000000000000002E-5</v>
      </c>
      <c r="BJ50" s="50">
        <v>159025</v>
      </c>
      <c r="BK50" s="51">
        <v>9.8799999999999999E-2</v>
      </c>
      <c r="BL50" s="51">
        <v>3.8800000000000001E-2</v>
      </c>
      <c r="BM50" s="13">
        <v>1.081E-2</v>
      </c>
      <c r="BN50" s="54">
        <v>158985</v>
      </c>
      <c r="BO50" s="51">
        <v>0.12230000000000001</v>
      </c>
      <c r="BP50" s="51">
        <v>6.5299999999999997E-2</v>
      </c>
      <c r="BQ50" s="13">
        <v>6.1100000000000002E-2</v>
      </c>
    </row>
    <row r="51" spans="1:69" x14ac:dyDescent="0.25">
      <c r="A51" s="1" t="s">
        <v>2054</v>
      </c>
      <c r="B51" s="1" t="s">
        <v>189</v>
      </c>
      <c r="C51" s="1">
        <v>19</v>
      </c>
      <c r="D51" s="1">
        <v>49244220</v>
      </c>
      <c r="E51" s="37" t="s">
        <v>190</v>
      </c>
      <c r="F51" s="654" t="s">
        <v>187</v>
      </c>
      <c r="G51" s="1" t="s">
        <v>24</v>
      </c>
      <c r="H51" s="1" t="s">
        <v>16</v>
      </c>
      <c r="I51" s="4">
        <v>0.55769999999999997</v>
      </c>
      <c r="J51" s="50">
        <v>458927</v>
      </c>
      <c r="K51" s="51">
        <v>-9.3533799999999997E-3</v>
      </c>
      <c r="L51" s="51">
        <v>2.2619799999999998E-3</v>
      </c>
      <c r="M51" s="13">
        <v>3.5490000000000001E-5</v>
      </c>
      <c r="N51" s="61">
        <v>526508</v>
      </c>
      <c r="O51" s="51">
        <v>-2.0927400000000001E-3</v>
      </c>
      <c r="P51" s="51">
        <v>2.0594799999999998E-3</v>
      </c>
      <c r="Q51" s="13">
        <v>0.30955832</v>
      </c>
      <c r="R51" s="54">
        <v>69866.53</v>
      </c>
      <c r="S51" s="51">
        <v>4.7999999999999996E-3</v>
      </c>
      <c r="T51" s="51">
        <v>1.29E-2</v>
      </c>
      <c r="U51" s="16">
        <v>0.96009999999999995</v>
      </c>
      <c r="V51" s="50">
        <v>143981</v>
      </c>
      <c r="W51" s="51">
        <v>-6.5457000000000004E-4</v>
      </c>
      <c r="X51" s="51">
        <v>1.28407E-3</v>
      </c>
      <c r="Y51" s="13">
        <v>0.764266</v>
      </c>
      <c r="Z51" s="54">
        <v>104082</v>
      </c>
      <c r="AA51" s="51">
        <v>4.48184E-3</v>
      </c>
      <c r="AB51" s="51">
        <v>2.0842299999999999E-3</v>
      </c>
      <c r="AC51" s="16">
        <v>1.9511899999999999E-2</v>
      </c>
      <c r="AD51" s="50">
        <v>129600</v>
      </c>
      <c r="AE51" s="51">
        <v>2.02973E-3</v>
      </c>
      <c r="AF51" s="51">
        <v>1.91409E-3</v>
      </c>
      <c r="AG51" s="13">
        <v>0.30821599999999999</v>
      </c>
      <c r="AH51" s="54">
        <v>57830</v>
      </c>
      <c r="AI51" s="51">
        <v>-1.0939900000000001E-2</v>
      </c>
      <c r="AJ51" s="51">
        <v>8.8151800000000006E-3</v>
      </c>
      <c r="AK51" s="16">
        <v>0.197794</v>
      </c>
      <c r="AL51" s="50">
        <v>85826</v>
      </c>
      <c r="AM51" s="51">
        <v>4.7999999999999996E-3</v>
      </c>
      <c r="AN51" s="51">
        <v>6.8999999999999999E-3</v>
      </c>
      <c r="AO51" s="13">
        <v>0.4879</v>
      </c>
      <c r="AP51" s="54">
        <v>50767.8</v>
      </c>
      <c r="AQ51" s="51">
        <v>1.11E-2</v>
      </c>
      <c r="AR51" s="51">
        <v>2.4400000000000002E-2</v>
      </c>
      <c r="AS51" s="16">
        <v>0.6502</v>
      </c>
      <c r="AT51" s="50">
        <v>316391</v>
      </c>
      <c r="AU51" s="51">
        <v>-2.1679999999999998E-3</v>
      </c>
      <c r="AV51" s="51">
        <v>2.5950000000000001E-3</v>
      </c>
      <c r="AW51" s="13">
        <v>0.403449</v>
      </c>
      <c r="AX51" s="54">
        <v>295826</v>
      </c>
      <c r="AY51" s="51">
        <v>2.0039000000000001E-2</v>
      </c>
      <c r="AZ51" s="51">
        <v>2.686E-3</v>
      </c>
      <c r="BA51" s="16">
        <v>2.0000000000000002E-5</v>
      </c>
      <c r="BB51" s="50">
        <v>305699</v>
      </c>
      <c r="BC51" s="51">
        <v>1.1043000000000001E-2</v>
      </c>
      <c r="BD51" s="51">
        <v>2.6380000000000002E-3</v>
      </c>
      <c r="BE51" s="13">
        <v>2.8500000000000002E-5</v>
      </c>
      <c r="BF51" s="54">
        <v>319677</v>
      </c>
      <c r="BG51" s="51">
        <v>2.18094E-2</v>
      </c>
      <c r="BH51" s="51">
        <v>2.5799999999999998E-3</v>
      </c>
      <c r="BI51" s="16">
        <v>2.0000000000000002E-5</v>
      </c>
      <c r="BJ51" s="50">
        <v>187818</v>
      </c>
      <c r="BK51" s="51">
        <v>6.1800000000000001E-2</v>
      </c>
      <c r="BL51" s="51">
        <v>3.5000000000000003E-2</v>
      </c>
      <c r="BM51" s="13">
        <v>7.7859999999999999E-2</v>
      </c>
      <c r="BN51" s="54">
        <v>187788</v>
      </c>
      <c r="BO51" s="51">
        <v>4.48E-2</v>
      </c>
      <c r="BP51" s="51">
        <v>5.8799999999999998E-2</v>
      </c>
      <c r="BQ51" s="13">
        <v>0.44640000000000002</v>
      </c>
    </row>
    <row r="52" spans="1:69" x14ac:dyDescent="0.25">
      <c r="A52" s="1" t="s">
        <v>2055</v>
      </c>
      <c r="B52" s="1" t="s">
        <v>193</v>
      </c>
      <c r="C52" s="1">
        <v>20</v>
      </c>
      <c r="D52" s="1">
        <v>33971914</v>
      </c>
      <c r="E52" s="37" t="s">
        <v>265</v>
      </c>
      <c r="F52" s="654" t="s">
        <v>191</v>
      </c>
      <c r="G52" s="1" t="s">
        <v>23</v>
      </c>
      <c r="H52" s="1" t="s">
        <v>17</v>
      </c>
      <c r="I52" s="4">
        <v>0.60150000000000003</v>
      </c>
      <c r="J52" s="50">
        <v>428116</v>
      </c>
      <c r="K52" s="51">
        <v>-5.610043E-2</v>
      </c>
      <c r="L52" s="51">
        <v>2.5225199999999999E-3</v>
      </c>
      <c r="M52" s="13">
        <v>2.0000000000000002E-5</v>
      </c>
      <c r="N52" s="61">
        <v>499487</v>
      </c>
      <c r="O52" s="51">
        <v>-2.93034E-3</v>
      </c>
      <c r="P52" s="51">
        <v>2.2234199999999998E-3</v>
      </c>
      <c r="Q52" s="13">
        <v>0.18752269999999999</v>
      </c>
      <c r="R52" s="54">
        <v>69865.42</v>
      </c>
      <c r="S52" s="51">
        <v>-1.1900000000000001E-2</v>
      </c>
      <c r="T52" s="51">
        <v>1.55E-2</v>
      </c>
      <c r="U52" s="16">
        <v>0.78169999999999995</v>
      </c>
      <c r="V52" s="50">
        <v>142346</v>
      </c>
      <c r="W52" s="51">
        <v>1.0139000000000001E-3</v>
      </c>
      <c r="X52" s="51">
        <v>1.3916099999999999E-3</v>
      </c>
      <c r="Y52" s="13">
        <v>0.48784699999999998</v>
      </c>
      <c r="Z52" s="54">
        <v>102442</v>
      </c>
      <c r="AA52" s="51">
        <v>1.6273699999999999E-3</v>
      </c>
      <c r="AB52" s="51">
        <v>2.1536400000000001E-3</v>
      </c>
      <c r="AC52" s="16">
        <v>0.43324699999999999</v>
      </c>
      <c r="AD52" s="50">
        <v>127967</v>
      </c>
      <c r="AE52" s="51">
        <v>6.5255000000000001E-4</v>
      </c>
      <c r="AF52" s="51">
        <v>2.0044099999999999E-3</v>
      </c>
      <c r="AG52" s="13">
        <v>0.731375</v>
      </c>
      <c r="AH52" s="54">
        <v>56211</v>
      </c>
      <c r="AI52" s="51">
        <v>9.3886600000000001E-3</v>
      </c>
      <c r="AJ52" s="51">
        <v>9.1748100000000003E-3</v>
      </c>
      <c r="AK52" s="16">
        <v>0.27574399999999999</v>
      </c>
      <c r="AL52" s="50">
        <v>132969</v>
      </c>
      <c r="AM52" s="51">
        <v>4.0000000000000002E-4</v>
      </c>
      <c r="AN52" s="51">
        <v>5.7999999999999996E-3</v>
      </c>
      <c r="AO52" s="13">
        <v>0.95130000000000003</v>
      </c>
      <c r="AP52" s="54">
        <v>69355.8</v>
      </c>
      <c r="AQ52" s="51">
        <v>3.09E-2</v>
      </c>
      <c r="AR52" s="51">
        <v>2.07E-2</v>
      </c>
      <c r="AS52" s="16">
        <v>0.1353</v>
      </c>
      <c r="AT52" s="50">
        <v>300815</v>
      </c>
      <c r="AU52" s="51">
        <v>1.5872E-3</v>
      </c>
      <c r="AV52" s="51">
        <v>2.7039999999999998E-3</v>
      </c>
      <c r="AW52" s="13">
        <v>0.55714010000000003</v>
      </c>
      <c r="AX52" s="54">
        <v>282562</v>
      </c>
      <c r="AY52" s="51">
        <v>1.2617E-2</v>
      </c>
      <c r="AZ52" s="51">
        <v>2.7899999999999999E-3</v>
      </c>
      <c r="BA52" s="16">
        <v>2.0000000000000002E-5</v>
      </c>
      <c r="BB52" s="50">
        <v>290822</v>
      </c>
      <c r="BC52" s="51">
        <v>4.6439999999999997E-3</v>
      </c>
      <c r="BD52" s="51">
        <v>2.7439999999999999E-3</v>
      </c>
      <c r="BE52" s="13">
        <v>9.0576500000000004E-2</v>
      </c>
      <c r="BF52" s="54">
        <v>304189</v>
      </c>
      <c r="BG52" s="51">
        <v>1.06616E-2</v>
      </c>
      <c r="BH52" s="51">
        <v>2.6840000000000002E-3</v>
      </c>
      <c r="BI52" s="16">
        <v>7.1299999999999998E-5</v>
      </c>
      <c r="BJ52" s="50">
        <v>187805</v>
      </c>
      <c r="BK52" s="51">
        <v>0.1003</v>
      </c>
      <c r="BL52" s="51">
        <v>3.56E-2</v>
      </c>
      <c r="BM52" s="13">
        <v>4.8209999999999998E-3</v>
      </c>
      <c r="BN52" s="54">
        <v>187775</v>
      </c>
      <c r="BO52" s="51">
        <v>-4.7300000000000002E-2</v>
      </c>
      <c r="BP52" s="51">
        <v>5.9799999999999999E-2</v>
      </c>
      <c r="BQ52" s="13">
        <v>0.4294</v>
      </c>
    </row>
    <row r="53" spans="1:69" x14ac:dyDescent="0.25">
      <c r="A53" s="1" t="s">
        <v>2056</v>
      </c>
      <c r="B53" s="1" t="s">
        <v>197</v>
      </c>
      <c r="C53" s="1">
        <v>20</v>
      </c>
      <c r="D53" s="1">
        <v>34022387</v>
      </c>
      <c r="E53" s="37" t="s">
        <v>959</v>
      </c>
      <c r="F53" s="654" t="s">
        <v>194</v>
      </c>
      <c r="G53" s="1" t="s">
        <v>16</v>
      </c>
      <c r="H53" s="1" t="s">
        <v>17</v>
      </c>
      <c r="I53" s="4">
        <v>0.64359999999999995</v>
      </c>
      <c r="J53" s="50">
        <v>346829</v>
      </c>
      <c r="K53" s="51">
        <v>-5.5025949999999997E-2</v>
      </c>
      <c r="L53" s="51">
        <v>2.8223800000000002E-3</v>
      </c>
      <c r="M53" s="13">
        <v>2.0000000000000002E-5</v>
      </c>
      <c r="N53" s="61">
        <v>379061</v>
      </c>
      <c r="O53" s="51">
        <v>-5.7535900000000003E-3</v>
      </c>
      <c r="P53" s="51">
        <v>2.57004E-3</v>
      </c>
      <c r="Q53" s="13">
        <v>2.517455E-2</v>
      </c>
      <c r="R53" s="54">
        <v>31321.46</v>
      </c>
      <c r="S53" s="51">
        <v>-4.3E-3</v>
      </c>
      <c r="T53" s="51">
        <v>1.9199999999999998E-2</v>
      </c>
      <c r="U53" s="16">
        <v>0.92490000000000006</v>
      </c>
      <c r="V53" s="50">
        <v>80104</v>
      </c>
      <c r="W53" s="51">
        <v>7.5464E-4</v>
      </c>
      <c r="X53" s="51">
        <v>1.8046500000000001E-3</v>
      </c>
      <c r="Y53" s="13">
        <v>0.86758299999999999</v>
      </c>
      <c r="Z53" s="54">
        <v>63298</v>
      </c>
      <c r="AA53" s="51">
        <v>9.6002999999999995E-4</v>
      </c>
      <c r="AB53" s="51">
        <v>2.6484299999999998E-3</v>
      </c>
      <c r="AC53" s="16">
        <v>0.71143699999999999</v>
      </c>
      <c r="AD53" s="50">
        <v>86350</v>
      </c>
      <c r="AE53" s="51">
        <v>3.06434E-3</v>
      </c>
      <c r="AF53" s="51">
        <v>2.49657E-3</v>
      </c>
      <c r="AG53" s="13">
        <v>0.164053</v>
      </c>
      <c r="AH53" s="54">
        <v>36078</v>
      </c>
      <c r="AI53" s="51">
        <v>-1.22069E-3</v>
      </c>
      <c r="AJ53" s="51">
        <v>1.13043E-2</v>
      </c>
      <c r="AK53" s="16">
        <v>0.98669899999999999</v>
      </c>
      <c r="AL53" s="50" t="s">
        <v>312</v>
      </c>
      <c r="AM53" s="51" t="s">
        <v>312</v>
      </c>
      <c r="AN53" s="51" t="s">
        <v>312</v>
      </c>
      <c r="AO53" s="13" t="s">
        <v>312</v>
      </c>
      <c r="AP53" s="54" t="s">
        <v>312</v>
      </c>
      <c r="AQ53" s="51" t="s">
        <v>312</v>
      </c>
      <c r="AR53" s="51" t="s">
        <v>312</v>
      </c>
      <c r="AS53" s="16" t="s">
        <v>312</v>
      </c>
      <c r="AT53" s="50">
        <v>256674</v>
      </c>
      <c r="AU53" s="51">
        <v>5.3686999999999997E-3</v>
      </c>
      <c r="AV53" s="51">
        <v>2.9659999999999999E-3</v>
      </c>
      <c r="AW53" s="13">
        <v>7.0266800000000004E-2</v>
      </c>
      <c r="AX53" s="54">
        <v>239941</v>
      </c>
      <c r="AY53" s="51">
        <v>1.2955E-2</v>
      </c>
      <c r="AZ53" s="51">
        <v>3.0690000000000001E-3</v>
      </c>
      <c r="BA53" s="16">
        <v>2.4199999999999999E-5</v>
      </c>
      <c r="BB53" s="50">
        <v>246562</v>
      </c>
      <c r="BC53" s="51">
        <v>2.6619999999999999E-3</v>
      </c>
      <c r="BD53" s="51">
        <v>3.0200000000000001E-3</v>
      </c>
      <c r="BE53" s="13">
        <v>0.37816699999999998</v>
      </c>
      <c r="BF53" s="54">
        <v>259953</v>
      </c>
      <c r="BG53" s="51">
        <v>1.04642E-2</v>
      </c>
      <c r="BH53" s="51">
        <v>2.9429999999999999E-3</v>
      </c>
      <c r="BI53" s="16">
        <v>3.7740000000000001E-4</v>
      </c>
      <c r="BJ53" s="50">
        <v>126940</v>
      </c>
      <c r="BK53" s="51">
        <v>0.10970000000000001</v>
      </c>
      <c r="BL53" s="51">
        <v>4.4499999999999998E-2</v>
      </c>
      <c r="BM53" s="13">
        <v>1.3639999999999999E-2</v>
      </c>
      <c r="BN53" s="54">
        <v>126945</v>
      </c>
      <c r="BO53" s="51">
        <v>-3.1399999999999997E-2</v>
      </c>
      <c r="BP53" s="51">
        <v>7.46E-2</v>
      </c>
      <c r="BQ53" s="13">
        <v>0.6734</v>
      </c>
    </row>
    <row r="54" spans="1:69" x14ac:dyDescent="0.25">
      <c r="A54" s="318" t="s">
        <v>2057</v>
      </c>
      <c r="B54" s="318" t="s">
        <v>200</v>
      </c>
      <c r="C54" s="318">
        <v>20</v>
      </c>
      <c r="D54" s="318">
        <v>42965811</v>
      </c>
      <c r="E54" s="40" t="s">
        <v>201</v>
      </c>
      <c r="F54" s="662" t="s">
        <v>198</v>
      </c>
      <c r="G54" s="318" t="s">
        <v>23</v>
      </c>
      <c r="H54" s="318" t="s">
        <v>17</v>
      </c>
      <c r="I54" s="30">
        <v>1.4E-3</v>
      </c>
      <c r="J54" s="52">
        <v>436563</v>
      </c>
      <c r="K54" s="53">
        <v>7.855355E-2</v>
      </c>
      <c r="L54" s="53">
        <v>2.853282E-2</v>
      </c>
      <c r="M54" s="26">
        <v>5.90348E-3</v>
      </c>
      <c r="N54" s="220">
        <v>475422</v>
      </c>
      <c r="O54" s="53">
        <v>6.0063180000000001E-2</v>
      </c>
      <c r="P54" s="53">
        <v>2.9284359999999999E-2</v>
      </c>
      <c r="Q54" s="26">
        <v>4.0263790000000001E-2</v>
      </c>
      <c r="R54" s="55">
        <v>59886.34</v>
      </c>
      <c r="S54" s="53">
        <v>-0.16389999999999999</v>
      </c>
      <c r="T54" s="53">
        <v>0.10150000000000001</v>
      </c>
      <c r="U54" s="27">
        <v>8.5010000000000002E-2</v>
      </c>
      <c r="V54" s="52">
        <v>127473</v>
      </c>
      <c r="W54" s="53">
        <v>-2.1953899999999998E-2</v>
      </c>
      <c r="X54" s="53">
        <v>1.6896700000000001E-2</v>
      </c>
      <c r="Y54" s="26">
        <v>0.18243899999999999</v>
      </c>
      <c r="Z54" s="55">
        <v>93067</v>
      </c>
      <c r="AA54" s="53">
        <v>-1.3435599999999999E-3</v>
      </c>
      <c r="AB54" s="53">
        <v>1.75633E-2</v>
      </c>
      <c r="AC54" s="27">
        <v>0.52633799999999997</v>
      </c>
      <c r="AD54" s="52">
        <v>117272</v>
      </c>
      <c r="AE54" s="53">
        <v>4.5651099999999998E-3</v>
      </c>
      <c r="AF54" s="53">
        <v>1.69698E-2</v>
      </c>
      <c r="AG54" s="26">
        <v>0.88302700000000001</v>
      </c>
      <c r="AH54" s="55">
        <v>50364</v>
      </c>
      <c r="AI54" s="53">
        <v>-6.0435999999999997E-2</v>
      </c>
      <c r="AJ54" s="53">
        <v>6.2191499999999997E-2</v>
      </c>
      <c r="AK54" s="27">
        <v>0.47633199999999998</v>
      </c>
      <c r="AL54" s="222">
        <v>76657</v>
      </c>
      <c r="AM54" s="53">
        <v>-0.2014</v>
      </c>
      <c r="AN54" s="53">
        <v>0.18970000000000001</v>
      </c>
      <c r="AO54" s="26">
        <v>0.28820000000000001</v>
      </c>
      <c r="AP54" s="223">
        <v>39026</v>
      </c>
      <c r="AQ54" s="53">
        <v>-0.2354</v>
      </c>
      <c r="AR54" s="53">
        <v>0.73609999999999998</v>
      </c>
      <c r="AS54" s="27">
        <v>0.74909999999999999</v>
      </c>
      <c r="AT54" s="52">
        <v>299140</v>
      </c>
      <c r="AU54" s="53">
        <v>-1.32894E-2</v>
      </c>
      <c r="AV54" s="53">
        <v>3.0771E-2</v>
      </c>
      <c r="AW54" s="26">
        <v>0.66579999999999995</v>
      </c>
      <c r="AX54" s="55">
        <v>278640</v>
      </c>
      <c r="AY54" s="53">
        <v>7.2880000000000002E-3</v>
      </c>
      <c r="AZ54" s="53">
        <v>3.2462999999999999E-2</v>
      </c>
      <c r="BA54" s="27">
        <v>0.82240000000000002</v>
      </c>
      <c r="BB54" s="52">
        <v>288435</v>
      </c>
      <c r="BC54" s="53">
        <v>-1.5883100000000001E-2</v>
      </c>
      <c r="BD54" s="53">
        <v>3.2155000000000003E-2</v>
      </c>
      <c r="BE54" s="26">
        <v>0.62134339999999999</v>
      </c>
      <c r="BF54" s="55">
        <v>302407</v>
      </c>
      <c r="BG54" s="53">
        <v>-7.0558000000000001E-3</v>
      </c>
      <c r="BH54" s="53">
        <v>3.0707000000000002E-2</v>
      </c>
      <c r="BI54" s="27">
        <v>0.81830000000000003</v>
      </c>
      <c r="BJ54" s="52">
        <v>133128</v>
      </c>
      <c r="BK54" s="53">
        <v>-0.1053</v>
      </c>
      <c r="BL54" s="53">
        <v>0.31609999999999999</v>
      </c>
      <c r="BM54" s="26">
        <v>0.73899999999999999</v>
      </c>
      <c r="BN54" s="55">
        <v>133096</v>
      </c>
      <c r="BO54" s="53">
        <v>-0.50529999999999997</v>
      </c>
      <c r="BP54" s="53">
        <v>0.53849999999999998</v>
      </c>
      <c r="BQ54" s="26">
        <v>0.34810000000000002</v>
      </c>
    </row>
    <row r="55" spans="1:69" x14ac:dyDescent="0.25">
      <c r="A55" s="34" t="s">
        <v>2058</v>
      </c>
    </row>
    <row r="56" spans="1:69" x14ac:dyDescent="0.25">
      <c r="A56" s="160" t="s">
        <v>5256</v>
      </c>
    </row>
    <row r="57" spans="1:69" x14ac:dyDescent="0.25">
      <c r="A57" s="169" t="s">
        <v>227</v>
      </c>
    </row>
    <row r="58" spans="1:69" s="668" customFormat="1" x14ac:dyDescent="0.25">
      <c r="A58" s="384" t="s">
        <v>228</v>
      </c>
      <c r="G58" s="382"/>
      <c r="H58" s="382"/>
      <c r="I58" s="669"/>
      <c r="J58" s="669"/>
      <c r="K58" s="669"/>
      <c r="L58" s="670"/>
      <c r="M58" s="669"/>
      <c r="N58" s="669"/>
      <c r="O58" s="669"/>
      <c r="P58" s="670"/>
      <c r="Q58" s="669"/>
      <c r="R58" s="669"/>
      <c r="S58" s="669"/>
      <c r="T58" s="670"/>
      <c r="U58" s="669"/>
      <c r="V58" s="669"/>
      <c r="W58" s="669"/>
      <c r="X58" s="670"/>
      <c r="Y58" s="670"/>
      <c r="Z58" s="669"/>
      <c r="AA58" s="669"/>
      <c r="AB58" s="669"/>
      <c r="AC58" s="670"/>
      <c r="AD58" s="670"/>
      <c r="AE58" s="670"/>
      <c r="AF58" s="669"/>
      <c r="AG58" s="669"/>
      <c r="AH58" s="669"/>
      <c r="AI58" s="670"/>
      <c r="AL58" s="670"/>
      <c r="AN58" s="669"/>
      <c r="AO58" s="669"/>
      <c r="AP58" s="669"/>
    </row>
    <row r="59" spans="1:69" s="668" customFormat="1" x14ac:dyDescent="0.25">
      <c r="A59" s="925" t="s">
        <v>5278</v>
      </c>
      <c r="G59" s="382"/>
      <c r="H59" s="382"/>
      <c r="I59" s="669"/>
      <c r="J59" s="669"/>
      <c r="K59" s="669"/>
      <c r="L59" s="670"/>
      <c r="M59" s="669"/>
      <c r="N59" s="669"/>
      <c r="O59" s="669"/>
      <c r="P59" s="670"/>
      <c r="Q59" s="669"/>
      <c r="R59" s="669"/>
      <c r="S59" s="669"/>
      <c r="T59" s="670"/>
      <c r="U59" s="669"/>
      <c r="V59" s="669"/>
      <c r="W59" s="669"/>
      <c r="X59" s="670"/>
      <c r="Y59" s="670"/>
      <c r="Z59" s="669"/>
      <c r="AA59" s="669"/>
      <c r="AB59" s="669"/>
      <c r="AC59" s="670"/>
      <c r="AD59" s="670"/>
      <c r="AE59" s="670"/>
      <c r="AF59" s="669"/>
      <c r="AG59" s="669"/>
      <c r="AH59" s="669"/>
      <c r="AI59" s="670"/>
      <c r="AL59" s="670"/>
      <c r="AN59" s="669"/>
      <c r="AO59" s="669"/>
      <c r="AP59" s="669"/>
    </row>
    <row r="60" spans="1:69" s="668" customFormat="1" x14ac:dyDescent="0.25">
      <c r="A60" s="926" t="s">
        <v>5279</v>
      </c>
      <c r="G60" s="382"/>
      <c r="H60" s="382"/>
      <c r="I60" s="669"/>
      <c r="J60" s="669"/>
      <c r="K60" s="669"/>
      <c r="L60" s="670"/>
      <c r="M60" s="669"/>
      <c r="N60" s="669"/>
      <c r="O60" s="669"/>
      <c r="P60" s="670"/>
      <c r="Q60" s="669"/>
      <c r="R60" s="669"/>
      <c r="S60" s="669"/>
      <c r="T60" s="670"/>
      <c r="U60" s="669"/>
      <c r="V60" s="669"/>
      <c r="W60" s="669"/>
      <c r="X60" s="670"/>
      <c r="Y60" s="670"/>
      <c r="Z60" s="669"/>
      <c r="AA60" s="669"/>
      <c r="AB60" s="669"/>
      <c r="AC60" s="670"/>
      <c r="AD60" s="670"/>
      <c r="AE60" s="670"/>
      <c r="AF60" s="669"/>
      <c r="AG60" s="669"/>
      <c r="AH60" s="669"/>
      <c r="AI60" s="670"/>
      <c r="AL60" s="670"/>
      <c r="AN60" s="669"/>
      <c r="AO60" s="669"/>
      <c r="AP60" s="669"/>
    </row>
    <row r="61" spans="1:69" x14ac:dyDescent="0.25">
      <c r="A61" s="160" t="s">
        <v>5277</v>
      </c>
    </row>
    <row r="62" spans="1:69" x14ac:dyDescent="0.25">
      <c r="A62" s="108" t="s">
        <v>1</v>
      </c>
    </row>
    <row r="64" spans="1:69" x14ac:dyDescent="0.25">
      <c r="M64" s="1" t="s">
        <v>1</v>
      </c>
    </row>
  </sheetData>
  <sortState ref="A4:BP54">
    <sortCondition ref="C4:C54"/>
    <sortCondition ref="D4:D54"/>
  </sortState>
  <mergeCells count="24">
    <mergeCell ref="I2:I3"/>
    <mergeCell ref="H2:H3"/>
    <mergeCell ref="G2:G3"/>
    <mergeCell ref="Z2:AC2"/>
    <mergeCell ref="J2:M2"/>
    <mergeCell ref="N2:Q2"/>
    <mergeCell ref="R2:U2"/>
    <mergeCell ref="V2:Y2"/>
    <mergeCell ref="BB2:BE2"/>
    <mergeCell ref="BF2:BI2"/>
    <mergeCell ref="BJ2:BM2"/>
    <mergeCell ref="BN2:BQ2"/>
    <mergeCell ref="AD2:AG2"/>
    <mergeCell ref="AH2:AK2"/>
    <mergeCell ref="AL2:AO2"/>
    <mergeCell ref="AP2:AS2"/>
    <mergeCell ref="AT2:AW2"/>
    <mergeCell ref="AX2:BA2"/>
    <mergeCell ref="A2:A3"/>
    <mergeCell ref="F2:F3"/>
    <mergeCell ref="E2:E3"/>
    <mergeCell ref="D2:D3"/>
    <mergeCell ref="C2:C3"/>
    <mergeCell ref="B2:B3"/>
  </mergeCells>
  <phoneticPr fontId="101" type="noConversion"/>
  <conditionalFormatting sqref="M64:M1048576 M1:M57 M61:M62">
    <cfRule type="cellIs" dxfId="75" priority="105" operator="lessThan">
      <formula>0.00098</formula>
    </cfRule>
    <cfRule type="cellIs" dxfId="74" priority="106" operator="lessThan">
      <formula>0.00002</formula>
    </cfRule>
  </conditionalFormatting>
  <conditionalFormatting sqref="Q1:Q2 Q64:Q1048576 Q4:Q57 Q61:Q62">
    <cfRule type="cellIs" dxfId="73" priority="104" operator="lessThan">
      <formula>0.00098</formula>
    </cfRule>
  </conditionalFormatting>
  <conditionalFormatting sqref="U4:U54">
    <cfRule type="cellIs" dxfId="72" priority="103" operator="lessThan">
      <formula>0.00098</formula>
    </cfRule>
  </conditionalFormatting>
  <conditionalFormatting sqref="Y4:Y54">
    <cfRule type="cellIs" dxfId="71" priority="102" operator="lessThan">
      <formula>0.00098</formula>
    </cfRule>
  </conditionalFormatting>
  <conditionalFormatting sqref="AC4:AC54">
    <cfRule type="cellIs" dxfId="70" priority="101" operator="lessThan">
      <formula>0.00098</formula>
    </cfRule>
  </conditionalFormatting>
  <conditionalFormatting sqref="AG4:AG54">
    <cfRule type="cellIs" dxfId="69" priority="100" operator="lessThan">
      <formula>0.00098</formula>
    </cfRule>
  </conditionalFormatting>
  <conditionalFormatting sqref="AK4:AK54">
    <cfRule type="cellIs" dxfId="68" priority="99" operator="lessThan">
      <formula>0.00098</formula>
    </cfRule>
  </conditionalFormatting>
  <conditionalFormatting sqref="AO4:AO54">
    <cfRule type="cellIs" dxfId="67" priority="98" operator="lessThan">
      <formula>0.00098</formula>
    </cfRule>
  </conditionalFormatting>
  <conditionalFormatting sqref="AS4:AS54">
    <cfRule type="cellIs" dxfId="66" priority="97" operator="lessThan">
      <formula>0.00098</formula>
    </cfRule>
  </conditionalFormatting>
  <conditionalFormatting sqref="AW4:AW54">
    <cfRule type="cellIs" dxfId="65" priority="96" operator="lessThan">
      <formula>0.00098</formula>
    </cfRule>
  </conditionalFormatting>
  <conditionalFormatting sqref="BA4:BA54">
    <cfRule type="cellIs" dxfId="64" priority="95" operator="lessThan">
      <formula>0.00098</formula>
    </cfRule>
  </conditionalFormatting>
  <conditionalFormatting sqref="BE4:BE54">
    <cfRule type="cellIs" dxfId="63" priority="94" operator="lessThan">
      <formula>0.00098</formula>
    </cfRule>
  </conditionalFormatting>
  <conditionalFormatting sqref="BI4:BI54">
    <cfRule type="cellIs" dxfId="62" priority="93" operator="lessThan">
      <formula>0.00098</formula>
    </cfRule>
  </conditionalFormatting>
  <conditionalFormatting sqref="BM4:BM54">
    <cfRule type="cellIs" dxfId="61" priority="92" operator="lessThan">
      <formula>0.00098</formula>
    </cfRule>
  </conditionalFormatting>
  <conditionalFormatting sqref="BQ4:BQ54">
    <cfRule type="cellIs" dxfId="60" priority="91" operator="lessThan">
      <formula>0.00098</formula>
    </cfRule>
  </conditionalFormatting>
  <conditionalFormatting sqref="L58:L60 P58:P60 T58:T60">
    <cfRule type="cellIs" dxfId="59" priority="33" operator="lessThan">
      <formula>0.001</formula>
    </cfRule>
  </conditionalFormatting>
  <conditionalFormatting sqref="I58:I60">
    <cfRule type="cellIs" dxfId="58" priority="29" operator="lessThan">
      <formula>0.05</formula>
    </cfRule>
    <cfRule type="cellIs" dxfId="57" priority="30" operator="greaterThan">
      <formula>0.95</formula>
    </cfRule>
  </conditionalFormatting>
  <conditionalFormatting sqref="Q3">
    <cfRule type="cellIs" dxfId="56" priority="27" operator="lessThan">
      <formula>0.00098</formula>
    </cfRule>
    <cfRule type="cellIs" dxfId="55" priority="28" operator="lessThan">
      <formula>0.00002</formula>
    </cfRule>
  </conditionalFormatting>
  <conditionalFormatting sqref="U3">
    <cfRule type="cellIs" dxfId="54" priority="25" operator="lessThan">
      <formula>0.00098</formula>
    </cfRule>
    <cfRule type="cellIs" dxfId="53" priority="26" operator="lessThan">
      <formula>0.00002</formula>
    </cfRule>
  </conditionalFormatting>
  <conditionalFormatting sqref="Y3">
    <cfRule type="cellIs" dxfId="52" priority="23" operator="lessThan">
      <formula>0.00098</formula>
    </cfRule>
    <cfRule type="cellIs" dxfId="51" priority="24" operator="lessThan">
      <formula>0.00002</formula>
    </cfRule>
  </conditionalFormatting>
  <conditionalFormatting sqref="AC3">
    <cfRule type="cellIs" dxfId="50" priority="21" operator="lessThan">
      <formula>0.00098</formula>
    </cfRule>
    <cfRule type="cellIs" dxfId="49" priority="22" operator="lessThan">
      <formula>0.00002</formula>
    </cfRule>
  </conditionalFormatting>
  <conditionalFormatting sqref="AG3">
    <cfRule type="cellIs" dxfId="48" priority="19" operator="lessThan">
      <formula>0.00098</formula>
    </cfRule>
    <cfRule type="cellIs" dxfId="47" priority="20" operator="lessThan">
      <formula>0.00002</formula>
    </cfRule>
  </conditionalFormatting>
  <conditionalFormatting sqref="AK3">
    <cfRule type="cellIs" dxfId="46" priority="17" operator="lessThan">
      <formula>0.00098</formula>
    </cfRule>
    <cfRule type="cellIs" dxfId="45" priority="18" operator="lessThan">
      <formula>0.00002</formula>
    </cfRule>
  </conditionalFormatting>
  <conditionalFormatting sqref="AO3">
    <cfRule type="cellIs" dxfId="44" priority="15" operator="lessThan">
      <formula>0.00098</formula>
    </cfRule>
    <cfRule type="cellIs" dxfId="43" priority="16" operator="lessThan">
      <formula>0.00002</formula>
    </cfRule>
  </conditionalFormatting>
  <conditionalFormatting sqref="AS3">
    <cfRule type="cellIs" dxfId="42" priority="13" operator="lessThan">
      <formula>0.00098</formula>
    </cfRule>
    <cfRule type="cellIs" dxfId="41" priority="14" operator="lessThan">
      <formula>0.00002</formula>
    </cfRule>
  </conditionalFormatting>
  <conditionalFormatting sqref="AW3">
    <cfRule type="cellIs" dxfId="40" priority="11" operator="lessThan">
      <formula>0.00098</formula>
    </cfRule>
    <cfRule type="cellIs" dxfId="39" priority="12" operator="lessThan">
      <formula>0.00002</formula>
    </cfRule>
  </conditionalFormatting>
  <conditionalFormatting sqref="BA3">
    <cfRule type="cellIs" dxfId="38" priority="9" operator="lessThan">
      <formula>0.00098</formula>
    </cfRule>
    <cfRule type="cellIs" dxfId="37" priority="10" operator="lessThan">
      <formula>0.00002</formula>
    </cfRule>
  </conditionalFormatting>
  <conditionalFormatting sqref="BE3">
    <cfRule type="cellIs" dxfId="36" priority="7" operator="lessThan">
      <formula>0.00098</formula>
    </cfRule>
    <cfRule type="cellIs" dxfId="35" priority="8" operator="lessThan">
      <formula>0.00002</formula>
    </cfRule>
  </conditionalFormatting>
  <conditionalFormatting sqref="BI3">
    <cfRule type="cellIs" dxfId="34" priority="5" operator="lessThan">
      <formula>0.00098</formula>
    </cfRule>
    <cfRule type="cellIs" dxfId="33" priority="6" operator="lessThan">
      <formula>0.00002</formula>
    </cfRule>
  </conditionalFormatting>
  <conditionalFormatting sqref="BM3">
    <cfRule type="cellIs" dxfId="32" priority="3" operator="lessThan">
      <formula>0.00098</formula>
    </cfRule>
    <cfRule type="cellIs" dxfId="31" priority="4" operator="lessThan">
      <formula>0.00002</formula>
    </cfRule>
  </conditionalFormatting>
  <conditionalFormatting sqref="BQ3">
    <cfRule type="cellIs" dxfId="30" priority="1" operator="lessThan">
      <formula>0.00098</formula>
    </cfRule>
    <cfRule type="cellIs" dxfId="29" priority="2" operator="lessThan">
      <formula>0.00002</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O60"/>
  <sheetViews>
    <sheetView zoomScale="85" zoomScaleNormal="85" zoomScalePageLayoutView="85" workbookViewId="0">
      <selection activeCell="K10" sqref="K10"/>
    </sheetView>
  </sheetViews>
  <sheetFormatPr defaultColWidth="11.7109375" defaultRowHeight="15" x14ac:dyDescent="0.25"/>
  <cols>
    <col min="1" max="1" width="11.7109375" style="653"/>
    <col min="2" max="2" width="6.140625" style="649" customWidth="1"/>
    <col min="3" max="3" width="11.7109375" style="649"/>
    <col min="4" max="4" width="6.28515625" style="649" customWidth="1"/>
    <col min="5" max="5" width="7" style="649" customWidth="1"/>
    <col min="6" max="6" width="11.7109375" style="650"/>
    <col min="7" max="7" width="11.7109375" style="649"/>
    <col min="8" max="8" width="11.7109375" style="651"/>
    <col min="9" max="9" width="9.7109375" style="651" customWidth="1"/>
    <col min="10" max="10" width="8.28515625" style="651" customWidth="1"/>
    <col min="11" max="11" width="9.42578125" style="652" customWidth="1"/>
    <col min="12" max="12" width="11.7109375" style="651"/>
    <col min="13" max="13" width="10.140625" style="651" customWidth="1"/>
    <col min="14" max="14" width="7.85546875" style="651" customWidth="1"/>
    <col min="15" max="15" width="10.42578125" style="652" customWidth="1"/>
    <col min="16" max="16" width="11.7109375" style="651"/>
    <col min="17" max="17" width="9.85546875" style="651" customWidth="1"/>
    <col min="18" max="18" width="9" style="651" customWidth="1"/>
    <col min="19" max="19" width="10" style="652" customWidth="1"/>
    <col min="20" max="16384" width="11.7109375" style="653"/>
  </cols>
  <sheetData>
    <row r="1" spans="1:19" ht="26.1" customHeight="1" x14ac:dyDescent="0.25">
      <c r="A1" s="648" t="s">
        <v>5610</v>
      </c>
      <c r="O1" s="734"/>
    </row>
    <row r="2" spans="1:19" ht="57.75" customHeight="1" x14ac:dyDescent="0.25">
      <c r="A2" s="1429" t="s">
        <v>3</v>
      </c>
      <c r="B2" s="1429" t="s">
        <v>891</v>
      </c>
      <c r="C2" s="1431" t="s">
        <v>2059</v>
      </c>
      <c r="D2" s="1433" t="s">
        <v>2060</v>
      </c>
      <c r="E2" s="1433"/>
      <c r="F2" s="1434" t="s">
        <v>963</v>
      </c>
      <c r="G2" s="1431" t="s">
        <v>894</v>
      </c>
      <c r="H2" s="1426" t="s">
        <v>5287</v>
      </c>
      <c r="I2" s="1427"/>
      <c r="J2" s="1427"/>
      <c r="K2" s="1428"/>
      <c r="L2" s="1426" t="s">
        <v>5288</v>
      </c>
      <c r="M2" s="1427"/>
      <c r="N2" s="1427"/>
      <c r="O2" s="1427"/>
      <c r="P2" s="1426" t="s">
        <v>5289</v>
      </c>
      <c r="Q2" s="1427"/>
      <c r="R2" s="1427"/>
      <c r="S2" s="1428"/>
    </row>
    <row r="3" spans="1:19" ht="63" thickBot="1" x14ac:dyDescent="0.3">
      <c r="A3" s="1430"/>
      <c r="B3" s="1430"/>
      <c r="C3" s="1432"/>
      <c r="D3" s="378" t="s">
        <v>2061</v>
      </c>
      <c r="E3" s="378" t="s">
        <v>690</v>
      </c>
      <c r="F3" s="1435"/>
      <c r="G3" s="1432"/>
      <c r="H3" s="379" t="s">
        <v>8</v>
      </c>
      <c r="I3" s="380" t="s">
        <v>969</v>
      </c>
      <c r="J3" s="381" t="s">
        <v>10</v>
      </c>
      <c r="K3" s="866" t="s">
        <v>5258</v>
      </c>
      <c r="L3" s="380" t="s">
        <v>8</v>
      </c>
      <c r="M3" s="380" t="s">
        <v>969</v>
      </c>
      <c r="N3" s="381" t="s">
        <v>10</v>
      </c>
      <c r="O3" s="866" t="s">
        <v>5258</v>
      </c>
      <c r="P3" s="379" t="s">
        <v>8</v>
      </c>
      <c r="Q3" s="380" t="s">
        <v>969</v>
      </c>
      <c r="R3" s="381" t="s">
        <v>10</v>
      </c>
      <c r="S3" s="866" t="s">
        <v>5258</v>
      </c>
    </row>
    <row r="4" spans="1:19" s="661" customFormat="1" ht="15.75" thickTop="1" x14ac:dyDescent="0.25">
      <c r="A4" s="654" t="s">
        <v>15</v>
      </c>
      <c r="B4" s="654">
        <v>1</v>
      </c>
      <c r="C4" s="654">
        <v>119427467</v>
      </c>
      <c r="D4" s="654" t="s">
        <v>16</v>
      </c>
      <c r="E4" s="654" t="s">
        <v>17</v>
      </c>
      <c r="F4" s="655" t="s">
        <v>18</v>
      </c>
      <c r="G4" s="654" t="s">
        <v>19</v>
      </c>
      <c r="H4" s="656">
        <v>0.95455891936726112</v>
      </c>
      <c r="I4" s="657">
        <v>-7.6232799999999996E-3</v>
      </c>
      <c r="J4" s="657">
        <v>9.8637299999999994E-3</v>
      </c>
      <c r="K4" s="658">
        <v>0.43960700000000003</v>
      </c>
      <c r="L4" s="659">
        <v>0.9540060298928732</v>
      </c>
      <c r="M4" s="659">
        <v>1.5152099999999999E-3</v>
      </c>
      <c r="N4" s="659">
        <v>1.35008E-2</v>
      </c>
      <c r="O4" s="660">
        <v>0.91064000000000001</v>
      </c>
      <c r="P4" s="656">
        <v>0.95517680162015883</v>
      </c>
      <c r="Q4" s="657">
        <v>-1.8087099999999998E-2</v>
      </c>
      <c r="R4" s="657">
        <v>1.44463E-2</v>
      </c>
      <c r="S4" s="658">
        <v>0.210567</v>
      </c>
    </row>
    <row r="5" spans="1:19" s="661" customFormat="1" x14ac:dyDescent="0.25">
      <c r="A5" s="654" t="s">
        <v>22</v>
      </c>
      <c r="B5" s="654">
        <v>1</v>
      </c>
      <c r="C5" s="654">
        <v>119469188</v>
      </c>
      <c r="D5" s="654" t="s">
        <v>23</v>
      </c>
      <c r="E5" s="654" t="s">
        <v>24</v>
      </c>
      <c r="F5" s="655" t="s">
        <v>18</v>
      </c>
      <c r="G5" s="654" t="s">
        <v>25</v>
      </c>
      <c r="H5" s="656">
        <v>0.18019009250717291</v>
      </c>
      <c r="I5" s="657">
        <v>1.82748E-3</v>
      </c>
      <c r="J5" s="657">
        <v>5.3572400000000001E-3</v>
      </c>
      <c r="K5" s="658">
        <v>0.73301099999999997</v>
      </c>
      <c r="L5" s="659">
        <v>0.18051991789082045</v>
      </c>
      <c r="M5" s="659">
        <v>4.2449699999999998E-3</v>
      </c>
      <c r="N5" s="659">
        <v>7.3651300000000001E-3</v>
      </c>
      <c r="O5" s="660">
        <v>0.56437400000000004</v>
      </c>
      <c r="P5" s="656">
        <v>0.17982149577934298</v>
      </c>
      <c r="Q5" s="657">
        <v>-8.88626E-4</v>
      </c>
      <c r="R5" s="657">
        <v>7.8068199999999999E-3</v>
      </c>
      <c r="S5" s="658">
        <v>0.90937500000000004</v>
      </c>
    </row>
    <row r="6" spans="1:19" s="661" customFormat="1" x14ac:dyDescent="0.25">
      <c r="A6" s="654" t="s">
        <v>27</v>
      </c>
      <c r="B6" s="654">
        <v>1</v>
      </c>
      <c r="C6" s="654">
        <v>154987704</v>
      </c>
      <c r="D6" s="654" t="s">
        <v>17</v>
      </c>
      <c r="E6" s="654" t="s">
        <v>23</v>
      </c>
      <c r="F6" s="655" t="s">
        <v>28</v>
      </c>
      <c r="G6" s="654" t="s">
        <v>29</v>
      </c>
      <c r="H6" s="656">
        <v>0.97790153445109307</v>
      </c>
      <c r="I6" s="657">
        <v>4.20949E-4</v>
      </c>
      <c r="J6" s="657">
        <v>1.4073E-2</v>
      </c>
      <c r="K6" s="658">
        <v>0.97613700000000003</v>
      </c>
      <c r="L6" s="659">
        <v>0.97803739816537305</v>
      </c>
      <c r="M6" s="659">
        <v>-1.77713E-2</v>
      </c>
      <c r="N6" s="659">
        <v>1.9437800000000002E-2</v>
      </c>
      <c r="O6" s="660">
        <v>0.36058299999999999</v>
      </c>
      <c r="P6" s="656">
        <v>0.97774969980464899</v>
      </c>
      <c r="Q6" s="657">
        <v>2.04622E-2</v>
      </c>
      <c r="R6" s="657">
        <v>2.0401699999999998E-2</v>
      </c>
      <c r="S6" s="658">
        <v>0.31588300000000002</v>
      </c>
    </row>
    <row r="7" spans="1:19" s="661" customFormat="1" x14ac:dyDescent="0.25">
      <c r="A7" s="654" t="s">
        <v>32</v>
      </c>
      <c r="B7" s="654">
        <v>2</v>
      </c>
      <c r="C7" s="654">
        <v>158412701</v>
      </c>
      <c r="D7" s="654" t="s">
        <v>23</v>
      </c>
      <c r="E7" s="654" t="s">
        <v>24</v>
      </c>
      <c r="F7" s="655" t="s">
        <v>33</v>
      </c>
      <c r="G7" s="654" t="s">
        <v>34</v>
      </c>
      <c r="H7" s="656">
        <v>0.98793936675327754</v>
      </c>
      <c r="I7" s="657">
        <v>5.1908299999999996E-3</v>
      </c>
      <c r="J7" s="657">
        <v>1.88737E-2</v>
      </c>
      <c r="K7" s="658">
        <v>0.78329400000000005</v>
      </c>
      <c r="L7" s="659">
        <v>0.98779588171146326</v>
      </c>
      <c r="M7" s="659">
        <v>2.41579E-2</v>
      </c>
      <c r="N7" s="659">
        <v>2.5829700000000001E-2</v>
      </c>
      <c r="O7" s="660">
        <v>0.34965000000000002</v>
      </c>
      <c r="P7" s="656">
        <v>0.98809971862286505</v>
      </c>
      <c r="Q7" s="657">
        <v>-1.6537199999999998E-2</v>
      </c>
      <c r="R7" s="657">
        <v>2.7646E-2</v>
      </c>
      <c r="S7" s="658">
        <v>0.54972399999999999</v>
      </c>
    </row>
    <row r="8" spans="1:19" s="661" customFormat="1" x14ac:dyDescent="0.25">
      <c r="A8" s="654" t="s">
        <v>37</v>
      </c>
      <c r="B8" s="654">
        <v>2</v>
      </c>
      <c r="C8" s="654">
        <v>165551201</v>
      </c>
      <c r="D8" s="654" t="s">
        <v>23</v>
      </c>
      <c r="E8" s="654" t="s">
        <v>17</v>
      </c>
      <c r="F8" s="655" t="s">
        <v>38</v>
      </c>
      <c r="G8" s="654" t="s">
        <v>39</v>
      </c>
      <c r="H8" s="656">
        <v>0.88142459353550051</v>
      </c>
      <c r="I8" s="657">
        <v>-2.6126099999999999E-2</v>
      </c>
      <c r="J8" s="657">
        <v>6.3641599999999998E-3</v>
      </c>
      <c r="K8" s="658">
        <v>4.0425500000000001E-5</v>
      </c>
      <c r="L8" s="659">
        <v>0.88260141766630318</v>
      </c>
      <c r="M8" s="659">
        <v>-2.8600899999999999E-2</v>
      </c>
      <c r="N8" s="659">
        <v>8.8166600000000005E-3</v>
      </c>
      <c r="O8" s="660">
        <v>1.17943E-3</v>
      </c>
      <c r="P8" s="656">
        <v>0.88010941448464974</v>
      </c>
      <c r="Q8" s="657">
        <v>-2.3435299999999999E-2</v>
      </c>
      <c r="R8" s="657">
        <v>9.1962999999999993E-3</v>
      </c>
      <c r="S8" s="658">
        <v>1.0826300000000001E-2</v>
      </c>
    </row>
    <row r="9" spans="1:19" s="661" customFormat="1" x14ac:dyDescent="0.25">
      <c r="A9" s="654" t="s">
        <v>42</v>
      </c>
      <c r="B9" s="654">
        <v>2</v>
      </c>
      <c r="C9" s="654">
        <v>188343497</v>
      </c>
      <c r="D9" s="654" t="s">
        <v>23</v>
      </c>
      <c r="E9" s="654" t="s">
        <v>17</v>
      </c>
      <c r="F9" s="655" t="s">
        <v>43</v>
      </c>
      <c r="G9" s="654" t="s">
        <v>44</v>
      </c>
      <c r="H9" s="656">
        <v>0.70635108714971273</v>
      </c>
      <c r="I9" s="657">
        <v>1.0611600000000001E-2</v>
      </c>
      <c r="J9" s="657">
        <v>4.52492E-3</v>
      </c>
      <c r="K9" s="658">
        <v>1.9021199999999999E-2</v>
      </c>
      <c r="L9" s="659">
        <v>0.70644364616075439</v>
      </c>
      <c r="M9" s="659">
        <v>1.28088E-2</v>
      </c>
      <c r="N9" s="659">
        <v>6.2270199999999998E-3</v>
      </c>
      <c r="O9" s="660">
        <v>3.96935E-2</v>
      </c>
      <c r="P9" s="656">
        <v>0.70624764772299586</v>
      </c>
      <c r="Q9" s="657">
        <v>8.1534399999999996E-3</v>
      </c>
      <c r="R9" s="657">
        <v>6.5865999999999997E-3</v>
      </c>
      <c r="S9" s="658">
        <v>0.21576500000000001</v>
      </c>
    </row>
    <row r="10" spans="1:19" s="661" customFormat="1" x14ac:dyDescent="0.25">
      <c r="A10" s="654" t="s">
        <v>47</v>
      </c>
      <c r="B10" s="654">
        <v>3</v>
      </c>
      <c r="C10" s="654">
        <v>50597092</v>
      </c>
      <c r="D10" s="654" t="s">
        <v>24</v>
      </c>
      <c r="E10" s="654" t="s">
        <v>16</v>
      </c>
      <c r="F10" s="655" t="s">
        <v>48</v>
      </c>
      <c r="G10" s="654" t="s">
        <v>49</v>
      </c>
      <c r="H10" s="656">
        <v>0.12975971833131617</v>
      </c>
      <c r="I10" s="657">
        <v>-1.2882099999999999E-3</v>
      </c>
      <c r="J10" s="657">
        <v>6.1238600000000001E-3</v>
      </c>
      <c r="K10" s="658">
        <v>0.83338699999999999</v>
      </c>
      <c r="L10" s="659">
        <v>0.13070113541599848</v>
      </c>
      <c r="M10" s="659">
        <v>-2.3636299999999998E-3</v>
      </c>
      <c r="N10" s="659">
        <v>8.4236099999999998E-3</v>
      </c>
      <c r="O10" s="660">
        <v>0.77902199999999999</v>
      </c>
      <c r="P10" s="656">
        <v>0.12870763661128737</v>
      </c>
      <c r="Q10" s="657">
        <v>-8.2703799999999999E-5</v>
      </c>
      <c r="R10" s="657">
        <v>8.9187699999999995E-3</v>
      </c>
      <c r="S10" s="658">
        <v>0.99260099999999996</v>
      </c>
    </row>
    <row r="11" spans="1:19" s="661" customFormat="1" x14ac:dyDescent="0.25">
      <c r="A11" s="654" t="s">
        <v>51</v>
      </c>
      <c r="B11" s="654">
        <v>3</v>
      </c>
      <c r="C11" s="654">
        <v>52558008</v>
      </c>
      <c r="D11" s="654" t="s">
        <v>23</v>
      </c>
      <c r="E11" s="654" t="s">
        <v>17</v>
      </c>
      <c r="F11" s="655" t="s">
        <v>915</v>
      </c>
      <c r="G11" s="654" t="s">
        <v>52</v>
      </c>
      <c r="H11" s="656">
        <v>0.44174502551776085</v>
      </c>
      <c r="I11" s="657">
        <v>-7.7056599999999998E-4</v>
      </c>
      <c r="J11" s="657">
        <v>4.1413500000000002E-3</v>
      </c>
      <c r="K11" s="658">
        <v>0.85239299999999996</v>
      </c>
      <c r="L11" s="659">
        <v>0.4425957405863109</v>
      </c>
      <c r="M11" s="659">
        <v>-1.9954900000000001E-5</v>
      </c>
      <c r="N11" s="659">
        <v>5.7035200000000001E-3</v>
      </c>
      <c r="O11" s="660">
        <v>0.99720799999999998</v>
      </c>
      <c r="P11" s="656">
        <v>0.44079430793770269</v>
      </c>
      <c r="Q11" s="657">
        <v>-1.60768E-3</v>
      </c>
      <c r="R11" s="657">
        <v>6.0231800000000004E-3</v>
      </c>
      <c r="S11" s="658">
        <v>0.78953499999999999</v>
      </c>
    </row>
    <row r="12" spans="1:19" s="661" customFormat="1" x14ac:dyDescent="0.25">
      <c r="A12" s="654" t="s">
        <v>55</v>
      </c>
      <c r="B12" s="654">
        <v>3</v>
      </c>
      <c r="C12" s="654">
        <v>52833805</v>
      </c>
      <c r="D12" s="654" t="s">
        <v>17</v>
      </c>
      <c r="E12" s="654" t="s">
        <v>16</v>
      </c>
      <c r="F12" s="655" t="s">
        <v>916</v>
      </c>
      <c r="G12" s="654" t="s">
        <v>56</v>
      </c>
      <c r="H12" s="656">
        <v>0.55045999678383106</v>
      </c>
      <c r="I12" s="657">
        <v>-7.1995699999999998E-3</v>
      </c>
      <c r="J12" s="657">
        <v>4.1367399999999999E-3</v>
      </c>
      <c r="K12" s="658">
        <v>8.1792000000000004E-2</v>
      </c>
      <c r="L12" s="659">
        <v>0.55111777535441653</v>
      </c>
      <c r="M12" s="659">
        <v>-7.2226900000000004E-3</v>
      </c>
      <c r="N12" s="659">
        <v>5.6967600000000004E-3</v>
      </c>
      <c r="O12" s="660">
        <v>0.20485300000000001</v>
      </c>
      <c r="P12" s="656">
        <v>0.5497248956037063</v>
      </c>
      <c r="Q12" s="657">
        <v>-7.17383E-3</v>
      </c>
      <c r="R12" s="657">
        <v>6.0169500000000001E-3</v>
      </c>
      <c r="S12" s="658">
        <v>0.23316000000000001</v>
      </c>
    </row>
    <row r="13" spans="1:19" s="661" customFormat="1" x14ac:dyDescent="0.25">
      <c r="A13" s="654" t="s">
        <v>58</v>
      </c>
      <c r="B13" s="654">
        <v>3</v>
      </c>
      <c r="C13" s="654">
        <v>129137188</v>
      </c>
      <c r="D13" s="654" t="s">
        <v>17</v>
      </c>
      <c r="E13" s="654" t="s">
        <v>23</v>
      </c>
      <c r="F13" s="655" t="s">
        <v>917</v>
      </c>
      <c r="G13" s="654" t="s">
        <v>59</v>
      </c>
      <c r="H13" s="656">
        <v>0.92869838260560456</v>
      </c>
      <c r="I13" s="657">
        <v>-1.8025800000000002E-2</v>
      </c>
      <c r="J13" s="657">
        <v>7.9999900000000002E-3</v>
      </c>
      <c r="K13" s="658">
        <v>2.4246500000000001E-2</v>
      </c>
      <c r="L13" s="659">
        <v>0.9293331836551415</v>
      </c>
      <c r="M13" s="659">
        <v>-3.62438E-2</v>
      </c>
      <c r="N13" s="659">
        <v>1.1056099999999999E-2</v>
      </c>
      <c r="O13" s="660">
        <v>1.04542E-3</v>
      </c>
      <c r="P13" s="656">
        <v>0.92798895997992725</v>
      </c>
      <c r="Q13" s="657">
        <v>1.9897999999999999E-3</v>
      </c>
      <c r="R13" s="657">
        <v>1.15899E-2</v>
      </c>
      <c r="S13" s="658">
        <v>0.86368699999999998</v>
      </c>
    </row>
    <row r="14" spans="1:19" s="661" customFormat="1" x14ac:dyDescent="0.25">
      <c r="A14" s="654" t="s">
        <v>62</v>
      </c>
      <c r="B14" s="654">
        <v>3</v>
      </c>
      <c r="C14" s="654">
        <v>129284818</v>
      </c>
      <c r="D14" s="654" t="s">
        <v>16</v>
      </c>
      <c r="E14" s="654" t="s">
        <v>17</v>
      </c>
      <c r="F14" s="655" t="s">
        <v>216</v>
      </c>
      <c r="G14" s="654" t="s">
        <v>63</v>
      </c>
      <c r="H14" s="656">
        <v>0.7122248271309235</v>
      </c>
      <c r="I14" s="657">
        <v>-1.51559E-3</v>
      </c>
      <c r="J14" s="657">
        <v>4.55383E-3</v>
      </c>
      <c r="K14" s="658">
        <v>0.73927299999999996</v>
      </c>
      <c r="L14" s="659">
        <v>0.71335557123612803</v>
      </c>
      <c r="M14" s="659">
        <v>-9.6306099999999995E-3</v>
      </c>
      <c r="N14" s="659">
        <v>6.2799099999999997E-3</v>
      </c>
      <c r="O14" s="660">
        <v>0.125143</v>
      </c>
      <c r="P14" s="656">
        <v>0.71096116278652977</v>
      </c>
      <c r="Q14" s="657">
        <v>7.4834599999999999E-3</v>
      </c>
      <c r="R14" s="657">
        <v>6.6131899999999997E-3</v>
      </c>
      <c r="S14" s="658">
        <v>0.25780900000000001</v>
      </c>
    </row>
    <row r="15" spans="1:19" s="661" customFormat="1" x14ac:dyDescent="0.25">
      <c r="A15" s="654" t="s">
        <v>215</v>
      </c>
      <c r="B15" s="654">
        <v>3</v>
      </c>
      <c r="C15" s="654">
        <v>129293256</v>
      </c>
      <c r="D15" s="654" t="s">
        <v>23</v>
      </c>
      <c r="E15" s="654" t="s">
        <v>17</v>
      </c>
      <c r="F15" s="655" t="s">
        <v>216</v>
      </c>
      <c r="G15" s="654" t="s">
        <v>217</v>
      </c>
      <c r="H15" s="656">
        <v>0.615240408622718</v>
      </c>
      <c r="I15" s="657">
        <v>-2.9576400000000001E-3</v>
      </c>
      <c r="J15" s="657">
        <v>4.2271299999999999E-3</v>
      </c>
      <c r="K15" s="658">
        <v>0.48412699999999997</v>
      </c>
      <c r="L15" s="659">
        <v>0.61665276797741997</v>
      </c>
      <c r="M15" s="659">
        <v>-9.3781400000000001E-3</v>
      </c>
      <c r="N15" s="659">
        <v>5.8324400000000004E-3</v>
      </c>
      <c r="O15" s="660">
        <v>0.10785599999999999</v>
      </c>
      <c r="P15" s="656">
        <v>0.61366202484004517</v>
      </c>
      <c r="Q15" s="657">
        <v>4.1465E-3</v>
      </c>
      <c r="R15" s="657">
        <v>6.13526E-3</v>
      </c>
      <c r="S15" s="658">
        <v>0.49913999999999997</v>
      </c>
    </row>
    <row r="16" spans="1:19" s="661" customFormat="1" x14ac:dyDescent="0.25">
      <c r="A16" s="654" t="s">
        <v>65</v>
      </c>
      <c r="B16" s="654">
        <v>4</v>
      </c>
      <c r="C16" s="654">
        <v>89625427</v>
      </c>
      <c r="D16" s="654" t="s">
        <v>24</v>
      </c>
      <c r="E16" s="654" t="s">
        <v>17</v>
      </c>
      <c r="F16" s="655" t="s">
        <v>918</v>
      </c>
      <c r="G16" s="654" t="s">
        <v>66</v>
      </c>
      <c r="H16" s="656">
        <v>0.83748190905012998</v>
      </c>
      <c r="I16" s="657">
        <v>-7.9604800000000007E-3</v>
      </c>
      <c r="J16" s="657">
        <v>5.5783200000000003E-3</v>
      </c>
      <c r="K16" s="658">
        <v>0.15357100000000001</v>
      </c>
      <c r="L16" s="659">
        <v>0.83724902174610305</v>
      </c>
      <c r="M16" s="659">
        <v>-1.09055E-2</v>
      </c>
      <c r="N16" s="659">
        <v>7.6704E-3</v>
      </c>
      <c r="O16" s="660">
        <v>0.15509999999999999</v>
      </c>
      <c r="P16" s="656">
        <v>0.83774217251823568</v>
      </c>
      <c r="Q16" s="657">
        <v>-4.6541899999999999E-3</v>
      </c>
      <c r="R16" s="657">
        <v>8.1274199999999998E-3</v>
      </c>
      <c r="S16" s="658">
        <v>0.566882</v>
      </c>
    </row>
    <row r="17" spans="1:19" s="661" customFormat="1" x14ac:dyDescent="0.25">
      <c r="A17" s="654" t="s">
        <v>69</v>
      </c>
      <c r="B17" s="654">
        <v>4</v>
      </c>
      <c r="C17" s="654">
        <v>89668859</v>
      </c>
      <c r="D17" s="654" t="s">
        <v>17</v>
      </c>
      <c r="E17" s="654" t="s">
        <v>23</v>
      </c>
      <c r="F17" s="655" t="s">
        <v>919</v>
      </c>
      <c r="G17" s="654" t="s">
        <v>70</v>
      </c>
      <c r="H17" s="656">
        <v>0.8235211970919063</v>
      </c>
      <c r="I17" s="657">
        <v>-5.8734099999999999E-3</v>
      </c>
      <c r="J17" s="657">
        <v>5.40137E-3</v>
      </c>
      <c r="K17" s="658">
        <v>0.276866</v>
      </c>
      <c r="L17" s="659">
        <v>0.82286387837577779</v>
      </c>
      <c r="M17" s="659">
        <v>-2.9764399999999999E-3</v>
      </c>
      <c r="N17" s="659">
        <v>7.4213400000000002E-3</v>
      </c>
      <c r="O17" s="660">
        <v>0.68837300000000001</v>
      </c>
      <c r="P17" s="656">
        <v>0.82425578436116642</v>
      </c>
      <c r="Q17" s="657">
        <v>-9.1367800000000006E-3</v>
      </c>
      <c r="R17" s="657">
        <v>7.8765099999999998E-3</v>
      </c>
      <c r="S17" s="658">
        <v>0.24605199999999999</v>
      </c>
    </row>
    <row r="18" spans="1:19" s="661" customFormat="1" x14ac:dyDescent="0.25">
      <c r="A18" s="654" t="s">
        <v>72</v>
      </c>
      <c r="B18" s="654">
        <v>4</v>
      </c>
      <c r="C18" s="654">
        <v>120528327</v>
      </c>
      <c r="D18" s="654" t="s">
        <v>24</v>
      </c>
      <c r="E18" s="654" t="s">
        <v>16</v>
      </c>
      <c r="F18" s="655" t="s">
        <v>73</v>
      </c>
      <c r="G18" s="654" t="s">
        <v>74</v>
      </c>
      <c r="H18" s="656">
        <v>0.18047785498463853</v>
      </c>
      <c r="I18" s="657">
        <v>8.9187399999999997E-3</v>
      </c>
      <c r="J18" s="657">
        <v>5.3489699999999998E-3</v>
      </c>
      <c r="K18" s="658">
        <v>9.5442399999999997E-2</v>
      </c>
      <c r="L18" s="659">
        <v>0.18106517416126755</v>
      </c>
      <c r="M18" s="659">
        <v>5.2281599999999999E-3</v>
      </c>
      <c r="N18" s="659">
        <v>7.3466499999999997E-3</v>
      </c>
      <c r="O18" s="660">
        <v>0.47669099999999998</v>
      </c>
      <c r="P18" s="656">
        <v>0.17982149577934292</v>
      </c>
      <c r="Q18" s="657">
        <v>1.30826E-2</v>
      </c>
      <c r="R18" s="657">
        <v>7.8033E-3</v>
      </c>
      <c r="S18" s="658">
        <v>9.3635399999999994E-2</v>
      </c>
    </row>
    <row r="19" spans="1:19" s="661" customFormat="1" x14ac:dyDescent="0.25">
      <c r="A19" s="654" t="s">
        <v>76</v>
      </c>
      <c r="B19" s="654">
        <v>5</v>
      </c>
      <c r="C19" s="654">
        <v>176516631</v>
      </c>
      <c r="D19" s="654" t="s">
        <v>16</v>
      </c>
      <c r="E19" s="654" t="s">
        <v>24</v>
      </c>
      <c r="F19" s="655" t="s">
        <v>77</v>
      </c>
      <c r="G19" s="654" t="s">
        <v>78</v>
      </c>
      <c r="H19" s="656">
        <v>0.24794122874577879</v>
      </c>
      <c r="I19" s="657">
        <v>-1.4253600000000001E-3</v>
      </c>
      <c r="J19" s="657">
        <v>4.7628499999999999E-3</v>
      </c>
      <c r="K19" s="658">
        <v>0.764737</v>
      </c>
      <c r="L19" s="659">
        <v>0.24776284559625378</v>
      </c>
      <c r="M19" s="659">
        <v>4.5417799999999996E-3</v>
      </c>
      <c r="N19" s="659">
        <v>6.56056E-3</v>
      </c>
      <c r="O19" s="660">
        <v>0.488761</v>
      </c>
      <c r="P19" s="656">
        <v>0.24814058103482267</v>
      </c>
      <c r="Q19" s="657">
        <v>-8.0752099999999993E-3</v>
      </c>
      <c r="R19" s="657">
        <v>6.9256400000000003E-3</v>
      </c>
      <c r="S19" s="658">
        <v>0.24362500000000001</v>
      </c>
    </row>
    <row r="20" spans="1:19" s="661" customFormat="1" x14ac:dyDescent="0.25">
      <c r="A20" s="654" t="s">
        <v>81</v>
      </c>
      <c r="B20" s="654">
        <v>6</v>
      </c>
      <c r="C20" s="654">
        <v>7211818</v>
      </c>
      <c r="D20" s="654" t="s">
        <v>24</v>
      </c>
      <c r="E20" s="654" t="s">
        <v>16</v>
      </c>
      <c r="F20" s="655" t="s">
        <v>82</v>
      </c>
      <c r="G20" s="654" t="s">
        <v>83</v>
      </c>
      <c r="H20" s="656">
        <v>0.57216913662793156</v>
      </c>
      <c r="I20" s="657">
        <v>3.8824399999999999E-4</v>
      </c>
      <c r="J20" s="657">
        <v>4.1607199999999997E-3</v>
      </c>
      <c r="K20" s="658">
        <v>0.92565600000000003</v>
      </c>
      <c r="L20" s="659">
        <v>0.57132433125922122</v>
      </c>
      <c r="M20" s="659">
        <v>4.2433899999999997E-3</v>
      </c>
      <c r="N20" s="659">
        <v>5.7291699999999996E-3</v>
      </c>
      <c r="O20" s="660">
        <v>0.45889999999999997</v>
      </c>
      <c r="P20" s="656">
        <v>0.5731132498162983</v>
      </c>
      <c r="Q20" s="657">
        <v>-3.9143199999999998E-3</v>
      </c>
      <c r="R20" s="657">
        <v>6.0525199999999996E-3</v>
      </c>
      <c r="S20" s="658">
        <v>0.51781200000000005</v>
      </c>
    </row>
    <row r="21" spans="1:19" s="661" customFormat="1" x14ac:dyDescent="0.25">
      <c r="A21" s="654" t="s">
        <v>90</v>
      </c>
      <c r="B21" s="654">
        <v>6</v>
      </c>
      <c r="C21" s="654">
        <v>34827085</v>
      </c>
      <c r="D21" s="654" t="s">
        <v>16</v>
      </c>
      <c r="E21" s="654" t="s">
        <v>23</v>
      </c>
      <c r="F21" s="655" t="s">
        <v>91</v>
      </c>
      <c r="G21" s="654" t="s">
        <v>92</v>
      </c>
      <c r="H21" s="656">
        <v>0.83736341861823227</v>
      </c>
      <c r="I21" s="657">
        <v>-3.2590500000000001E-2</v>
      </c>
      <c r="J21" s="657">
        <v>5.5673700000000003E-3</v>
      </c>
      <c r="K21" s="658">
        <v>4.8160099999999998E-9</v>
      </c>
      <c r="L21" s="659">
        <v>0.83770607479633075</v>
      </c>
      <c r="M21" s="659">
        <v>-3.7308300000000003E-2</v>
      </c>
      <c r="N21" s="659">
        <v>7.6781100000000001E-3</v>
      </c>
      <c r="O21" s="660">
        <v>1.18238E-6</v>
      </c>
      <c r="P21" s="656">
        <v>0.83698048282165705</v>
      </c>
      <c r="Q21" s="657">
        <v>-2.7361E-2</v>
      </c>
      <c r="R21" s="657">
        <v>8.0846100000000008E-3</v>
      </c>
      <c r="S21" s="658">
        <v>7.1400100000000002E-4</v>
      </c>
    </row>
    <row r="22" spans="1:19" s="661" customFormat="1" x14ac:dyDescent="0.25">
      <c r="A22" s="654" t="s">
        <v>95</v>
      </c>
      <c r="B22" s="654">
        <v>6</v>
      </c>
      <c r="C22" s="654">
        <v>127476516</v>
      </c>
      <c r="D22" s="654" t="s">
        <v>16</v>
      </c>
      <c r="E22" s="654" t="s">
        <v>24</v>
      </c>
      <c r="F22" s="655" t="s">
        <v>923</v>
      </c>
      <c r="G22" s="654" t="s">
        <v>96</v>
      </c>
      <c r="H22" s="656">
        <v>0.54705339686677446</v>
      </c>
      <c r="I22" s="657">
        <v>2.26019E-3</v>
      </c>
      <c r="J22" s="657">
        <v>4.1452399999999997E-3</v>
      </c>
      <c r="K22" s="658">
        <v>0.58558299999999996</v>
      </c>
      <c r="L22" s="659">
        <v>0.54715664891910964</v>
      </c>
      <c r="M22" s="659">
        <v>6.5674499999999999E-3</v>
      </c>
      <c r="N22" s="659">
        <v>5.7145E-3</v>
      </c>
      <c r="O22" s="660">
        <v>0.25045299999999998</v>
      </c>
      <c r="P22" s="656">
        <v>0.54693800741975374</v>
      </c>
      <c r="Q22" s="657">
        <v>-2.5232000000000002E-3</v>
      </c>
      <c r="R22" s="657">
        <v>6.0221299999999997E-3</v>
      </c>
      <c r="S22" s="658">
        <v>0.67522599999999999</v>
      </c>
    </row>
    <row r="23" spans="1:19" s="661" customFormat="1" x14ac:dyDescent="0.25">
      <c r="A23" s="654" t="s">
        <v>99</v>
      </c>
      <c r="B23" s="654">
        <v>6</v>
      </c>
      <c r="C23" s="654">
        <v>127767954</v>
      </c>
      <c r="D23" s="654" t="s">
        <v>16</v>
      </c>
      <c r="E23" s="654" t="s">
        <v>24</v>
      </c>
      <c r="F23" s="655" t="s">
        <v>924</v>
      </c>
      <c r="G23" s="654" t="s">
        <v>100</v>
      </c>
      <c r="H23" s="656">
        <v>1.1294677240527113E-2</v>
      </c>
      <c r="I23" s="657">
        <v>-5.0743700000000003E-2</v>
      </c>
      <c r="J23" s="657">
        <v>1.9437200000000002E-2</v>
      </c>
      <c r="K23" s="658">
        <v>9.0381599999999999E-3</v>
      </c>
      <c r="L23" s="659">
        <v>1.1522547950477901E-2</v>
      </c>
      <c r="M23" s="659">
        <v>-4.3405199999999998E-2</v>
      </c>
      <c r="N23" s="659">
        <v>2.6575399999999999E-2</v>
      </c>
      <c r="O23" s="660">
        <v>0.10241400000000001</v>
      </c>
      <c r="P23" s="656">
        <v>1.1040020072763768E-2</v>
      </c>
      <c r="Q23" s="657">
        <v>-5.9186900000000001E-2</v>
      </c>
      <c r="R23" s="657">
        <v>2.85031E-2</v>
      </c>
      <c r="S23" s="658">
        <v>3.7851900000000001E-2</v>
      </c>
    </row>
    <row r="24" spans="1:19" s="661" customFormat="1" x14ac:dyDescent="0.25">
      <c r="A24" s="654" t="s">
        <v>102</v>
      </c>
      <c r="B24" s="654">
        <v>7</v>
      </c>
      <c r="C24" s="654">
        <v>6449496</v>
      </c>
      <c r="D24" s="654" t="s">
        <v>17</v>
      </c>
      <c r="E24" s="654" t="s">
        <v>23</v>
      </c>
      <c r="F24" s="655" t="s">
        <v>103</v>
      </c>
      <c r="G24" s="654" t="s">
        <v>104</v>
      </c>
      <c r="H24" s="656">
        <v>0.24301118041860978</v>
      </c>
      <c r="I24" s="657">
        <v>-5.9119200000000004E-4</v>
      </c>
      <c r="J24" s="657">
        <v>4.8029500000000003E-3</v>
      </c>
      <c r="K24" s="658">
        <v>0.90203699999999998</v>
      </c>
      <c r="L24" s="659">
        <v>0.2438979408557316</v>
      </c>
      <c r="M24" s="659">
        <v>-2.6613499999999998E-3</v>
      </c>
      <c r="N24" s="659">
        <v>6.5996099999999997E-3</v>
      </c>
      <c r="O24" s="660">
        <v>0.68676000000000004</v>
      </c>
      <c r="P24" s="656">
        <v>0.24202018029643171</v>
      </c>
      <c r="Q24" s="657">
        <v>1.73996E-3</v>
      </c>
      <c r="R24" s="657">
        <v>7.0033200000000004E-3</v>
      </c>
      <c r="S24" s="658">
        <v>0.80378899999999998</v>
      </c>
    </row>
    <row r="25" spans="1:19" s="661" customFormat="1" x14ac:dyDescent="0.25">
      <c r="A25" s="654" t="s">
        <v>106</v>
      </c>
      <c r="B25" s="654">
        <v>7</v>
      </c>
      <c r="C25" s="654">
        <v>73012042</v>
      </c>
      <c r="D25" s="654" t="s">
        <v>24</v>
      </c>
      <c r="E25" s="654" t="s">
        <v>16</v>
      </c>
      <c r="F25" s="655" t="s">
        <v>107</v>
      </c>
      <c r="G25" s="654" t="s">
        <v>108</v>
      </c>
      <c r="H25" s="656">
        <v>0.87132362276031927</v>
      </c>
      <c r="I25" s="657">
        <v>9.6133E-3</v>
      </c>
      <c r="J25" s="657">
        <v>6.1435999999999999E-3</v>
      </c>
      <c r="K25" s="658">
        <v>0.11763999999999999</v>
      </c>
      <c r="L25" s="659">
        <v>0.87095868881903904</v>
      </c>
      <c r="M25" s="659">
        <v>4.457E-3</v>
      </c>
      <c r="N25" s="659">
        <v>8.4631600000000008E-3</v>
      </c>
      <c r="O25" s="660">
        <v>0.59844799999999998</v>
      </c>
      <c r="P25" s="656">
        <v>0.87173145509615213</v>
      </c>
      <c r="Q25" s="657">
        <v>1.5357900000000001E-2</v>
      </c>
      <c r="R25" s="657">
        <v>8.9326900000000001E-3</v>
      </c>
      <c r="S25" s="658">
        <v>8.5566100000000006E-2</v>
      </c>
    </row>
    <row r="26" spans="1:19" s="661" customFormat="1" x14ac:dyDescent="0.25">
      <c r="A26" s="654" t="s">
        <v>111</v>
      </c>
      <c r="B26" s="654">
        <v>7</v>
      </c>
      <c r="C26" s="654">
        <v>73020337</v>
      </c>
      <c r="D26" s="654" t="s">
        <v>17</v>
      </c>
      <c r="E26" s="654" t="s">
        <v>24</v>
      </c>
      <c r="F26" s="655" t="s">
        <v>107</v>
      </c>
      <c r="G26" s="654" t="s">
        <v>112</v>
      </c>
      <c r="H26" s="656">
        <v>0.8707819522145015</v>
      </c>
      <c r="I26" s="657">
        <v>8.5537600000000005E-3</v>
      </c>
      <c r="J26" s="657">
        <v>6.1339000000000003E-3</v>
      </c>
      <c r="K26" s="658">
        <v>0.16316700000000001</v>
      </c>
      <c r="L26" s="659">
        <v>0.87051767271794211</v>
      </c>
      <c r="M26" s="659">
        <v>3.2745399999999998E-3</v>
      </c>
      <c r="N26" s="659">
        <v>8.4539200000000002E-3</v>
      </c>
      <c r="O26" s="660">
        <v>0.69850599999999996</v>
      </c>
      <c r="P26" s="656">
        <v>0.8710772980626198</v>
      </c>
      <c r="Q26" s="657">
        <v>1.4423200000000001E-2</v>
      </c>
      <c r="R26" s="657">
        <v>8.9137299999999999E-3</v>
      </c>
      <c r="S26" s="658">
        <v>0.10564999999999999</v>
      </c>
    </row>
    <row r="27" spans="1:19" s="661" customFormat="1" x14ac:dyDescent="0.25">
      <c r="A27" s="654" t="s">
        <v>114</v>
      </c>
      <c r="B27" s="654">
        <v>10</v>
      </c>
      <c r="C27" s="654">
        <v>95931087</v>
      </c>
      <c r="D27" s="654" t="s">
        <v>23</v>
      </c>
      <c r="E27" s="654" t="s">
        <v>24</v>
      </c>
      <c r="F27" s="655" t="s">
        <v>115</v>
      </c>
      <c r="G27" s="654" t="s">
        <v>116</v>
      </c>
      <c r="H27" s="656">
        <v>0.17063891733599654</v>
      </c>
      <c r="I27" s="657">
        <v>1.1571400000000001E-2</v>
      </c>
      <c r="J27" s="657">
        <v>5.4795499999999997E-3</v>
      </c>
      <c r="K27" s="658">
        <v>3.4709999999999998E-2</v>
      </c>
      <c r="L27" s="659">
        <v>0.17155526332670473</v>
      </c>
      <c r="M27" s="659">
        <v>2.5198600000000001E-3</v>
      </c>
      <c r="N27" s="659">
        <v>7.5232700000000003E-3</v>
      </c>
      <c r="O27" s="660">
        <v>0.73767000000000005</v>
      </c>
      <c r="P27" s="656">
        <v>0.16961485384518882</v>
      </c>
      <c r="Q27" s="657">
        <v>2.1800400000000001E-2</v>
      </c>
      <c r="R27" s="657">
        <v>7.9969399999999993E-3</v>
      </c>
      <c r="S27" s="658">
        <v>6.4110199999999999E-3</v>
      </c>
    </row>
    <row r="28" spans="1:19" s="661" customFormat="1" x14ac:dyDescent="0.25">
      <c r="A28" s="654" t="s">
        <v>122</v>
      </c>
      <c r="B28" s="654">
        <v>11</v>
      </c>
      <c r="C28" s="654">
        <v>64031241</v>
      </c>
      <c r="D28" s="654" t="s">
        <v>23</v>
      </c>
      <c r="E28" s="654" t="s">
        <v>17</v>
      </c>
      <c r="F28" s="655" t="s">
        <v>123</v>
      </c>
      <c r="G28" s="654" t="s">
        <v>124</v>
      </c>
      <c r="H28" s="656">
        <v>6.3472785286873792E-2</v>
      </c>
      <c r="I28" s="657">
        <v>1.4823299999999999E-2</v>
      </c>
      <c r="J28" s="657">
        <v>8.4390799999999998E-3</v>
      </c>
      <c r="K28" s="658">
        <v>7.9004500000000005E-2</v>
      </c>
      <c r="L28" s="659">
        <v>6.472512669189813E-2</v>
      </c>
      <c r="M28" s="659">
        <v>2.9005300000000001E-2</v>
      </c>
      <c r="N28" s="659">
        <v>1.1487600000000001E-2</v>
      </c>
      <c r="O28" s="660">
        <v>1.15748E-2</v>
      </c>
      <c r="P28" s="656">
        <v>6.2073229743534596E-2</v>
      </c>
      <c r="Q28" s="657">
        <v>-1.80141E-3</v>
      </c>
      <c r="R28" s="657">
        <v>1.2439E-2</v>
      </c>
      <c r="S28" s="658">
        <v>0.88485400000000003</v>
      </c>
    </row>
    <row r="29" spans="1:19" s="661" customFormat="1" x14ac:dyDescent="0.25">
      <c r="A29" s="654" t="s">
        <v>127</v>
      </c>
      <c r="B29" s="654">
        <v>11</v>
      </c>
      <c r="C29" s="654">
        <v>65403651</v>
      </c>
      <c r="D29" s="654" t="s">
        <v>17</v>
      </c>
      <c r="E29" s="654" t="s">
        <v>16</v>
      </c>
      <c r="F29" s="655" t="s">
        <v>128</v>
      </c>
      <c r="G29" s="654" t="s">
        <v>129</v>
      </c>
      <c r="H29" s="656">
        <v>0.94475383612773267</v>
      </c>
      <c r="I29" s="657">
        <v>4.3687500000000002E-3</v>
      </c>
      <c r="J29" s="657">
        <v>8.9945600000000004E-3</v>
      </c>
      <c r="K29" s="658">
        <v>0.62717400000000001</v>
      </c>
      <c r="L29" s="659">
        <v>0.94451215600744109</v>
      </c>
      <c r="M29" s="659">
        <v>5.1116299999999998E-3</v>
      </c>
      <c r="N29" s="659">
        <v>1.2378699999999999E-2</v>
      </c>
      <c r="O29" s="660">
        <v>0.67965500000000001</v>
      </c>
      <c r="P29" s="656">
        <v>0.94502392601752783</v>
      </c>
      <c r="Q29" s="657">
        <v>3.5378200000000001E-3</v>
      </c>
      <c r="R29" s="657">
        <v>1.30919E-2</v>
      </c>
      <c r="S29" s="658">
        <v>0.78698400000000002</v>
      </c>
    </row>
    <row r="30" spans="1:19" s="661" customFormat="1" x14ac:dyDescent="0.25">
      <c r="A30" s="654" t="s">
        <v>131</v>
      </c>
      <c r="B30" s="654">
        <v>12</v>
      </c>
      <c r="C30" s="654">
        <v>48143315</v>
      </c>
      <c r="D30" s="654" t="s">
        <v>16</v>
      </c>
      <c r="E30" s="654" t="s">
        <v>24</v>
      </c>
      <c r="F30" s="655" t="s">
        <v>132</v>
      </c>
      <c r="G30" s="654" t="s">
        <v>133</v>
      </c>
      <c r="H30" s="656">
        <v>0.98881534958909212</v>
      </c>
      <c r="I30" s="657">
        <v>9.6661300000000002E-3</v>
      </c>
      <c r="J30" s="657">
        <v>1.9522100000000001E-2</v>
      </c>
      <c r="K30" s="658">
        <v>0.62050399999999994</v>
      </c>
      <c r="L30" s="659">
        <v>0.98869395086278788</v>
      </c>
      <c r="M30" s="659">
        <v>8.7666900000000006E-3</v>
      </c>
      <c r="N30" s="659">
        <v>2.67061E-2</v>
      </c>
      <c r="O30" s="660">
        <v>0.74271200000000004</v>
      </c>
      <c r="P30" s="656">
        <v>0.98895101887198233</v>
      </c>
      <c r="Q30" s="657">
        <v>1.06984E-2</v>
      </c>
      <c r="R30" s="657">
        <v>2.86095E-2</v>
      </c>
      <c r="S30" s="658">
        <v>0.70844499999999999</v>
      </c>
    </row>
    <row r="31" spans="1:19" s="661" customFormat="1" x14ac:dyDescent="0.25">
      <c r="A31" s="654" t="s">
        <v>135</v>
      </c>
      <c r="B31" s="654">
        <v>12</v>
      </c>
      <c r="C31" s="654">
        <v>108618630</v>
      </c>
      <c r="D31" s="654" t="s">
        <v>17</v>
      </c>
      <c r="E31" s="654" t="s">
        <v>23</v>
      </c>
      <c r="F31" s="655" t="s">
        <v>136</v>
      </c>
      <c r="G31" s="654" t="s">
        <v>137</v>
      </c>
      <c r="H31" s="656">
        <v>0.73907983716029224</v>
      </c>
      <c r="I31" s="657">
        <v>1.89146E-2</v>
      </c>
      <c r="J31" s="657">
        <v>4.69156E-3</v>
      </c>
      <c r="K31" s="658">
        <v>5.5428299999999999E-5</v>
      </c>
      <c r="L31" s="659">
        <v>0.73929533645519274</v>
      </c>
      <c r="M31" s="659">
        <v>1.8487699999999999E-2</v>
      </c>
      <c r="N31" s="659">
        <v>6.4502300000000004E-3</v>
      </c>
      <c r="O31" s="660">
        <v>4.1556700000000002E-3</v>
      </c>
      <c r="P31" s="656">
        <v>0.738839005681309</v>
      </c>
      <c r="Q31" s="657">
        <v>1.93942E-2</v>
      </c>
      <c r="R31" s="657">
        <v>6.83645E-3</v>
      </c>
      <c r="S31" s="658">
        <v>4.5573200000000001E-3</v>
      </c>
    </row>
    <row r="32" spans="1:19" s="661" customFormat="1" x14ac:dyDescent="0.25">
      <c r="A32" s="654" t="s">
        <v>139</v>
      </c>
      <c r="B32" s="654">
        <v>12</v>
      </c>
      <c r="C32" s="654">
        <v>123444507</v>
      </c>
      <c r="D32" s="654" t="s">
        <v>24</v>
      </c>
      <c r="E32" s="654" t="s">
        <v>23</v>
      </c>
      <c r="F32" s="655" t="s">
        <v>939</v>
      </c>
      <c r="G32" s="654" t="s">
        <v>140</v>
      </c>
      <c r="H32" s="656">
        <v>0.98522255042191054</v>
      </c>
      <c r="I32" s="657">
        <v>-9.7605299999999999E-3</v>
      </c>
      <c r="J32" s="657">
        <v>1.7047799999999998E-2</v>
      </c>
      <c r="K32" s="658">
        <v>0.56695799999999996</v>
      </c>
      <c r="L32" s="659">
        <v>0.98516582205401249</v>
      </c>
      <c r="M32" s="659">
        <v>-1.8224199999999999E-2</v>
      </c>
      <c r="N32" s="659">
        <v>2.3407500000000001E-2</v>
      </c>
      <c r="O32" s="660">
        <v>0.43624099999999999</v>
      </c>
      <c r="P32" s="656">
        <v>0.98528594727315089</v>
      </c>
      <c r="Q32" s="657">
        <v>-1.9976299999999999E-4</v>
      </c>
      <c r="R32" s="657">
        <v>2.4878600000000001E-2</v>
      </c>
      <c r="S32" s="658">
        <v>0.99359299999999995</v>
      </c>
    </row>
    <row r="33" spans="1:19" s="661" customFormat="1" x14ac:dyDescent="0.25">
      <c r="A33" s="654" t="s">
        <v>143</v>
      </c>
      <c r="B33" s="654">
        <v>12</v>
      </c>
      <c r="C33" s="654">
        <v>124265687</v>
      </c>
      <c r="D33" s="654" t="s">
        <v>23</v>
      </c>
      <c r="E33" s="654" t="s">
        <v>17</v>
      </c>
      <c r="F33" s="655" t="s">
        <v>940</v>
      </c>
      <c r="G33" s="654" t="s">
        <v>144</v>
      </c>
      <c r="H33" s="656">
        <v>0.3933035978773286</v>
      </c>
      <c r="I33" s="657">
        <v>-9.3521899999999998E-3</v>
      </c>
      <c r="J33" s="657">
        <v>4.2153399999999997E-3</v>
      </c>
      <c r="K33" s="658">
        <v>2.6515500000000001E-2</v>
      </c>
      <c r="L33" s="659">
        <v>0.39303354929758161</v>
      </c>
      <c r="M33" s="659">
        <v>-8.9970799999999993E-3</v>
      </c>
      <c r="N33" s="659">
        <v>5.8038600000000001E-3</v>
      </c>
      <c r="O33" s="660">
        <v>0.121102</v>
      </c>
      <c r="P33" s="656">
        <v>0.39360539097084069</v>
      </c>
      <c r="Q33" s="657">
        <v>-9.7486799999999992E-3</v>
      </c>
      <c r="R33" s="657">
        <v>6.1326100000000001E-3</v>
      </c>
      <c r="S33" s="658">
        <v>0.11192000000000001</v>
      </c>
    </row>
    <row r="34" spans="1:19" s="661" customFormat="1" x14ac:dyDescent="0.25">
      <c r="A34" s="654" t="s">
        <v>146</v>
      </c>
      <c r="B34" s="654">
        <v>12</v>
      </c>
      <c r="C34" s="654">
        <v>124330311</v>
      </c>
      <c r="D34" s="654" t="s">
        <v>17</v>
      </c>
      <c r="E34" s="654" t="s">
        <v>23</v>
      </c>
      <c r="F34" s="655" t="s">
        <v>940</v>
      </c>
      <c r="G34" s="654" t="s">
        <v>147</v>
      </c>
      <c r="H34" s="656">
        <v>0.87742164820190771</v>
      </c>
      <c r="I34" s="657">
        <v>-1.9651600000000002E-2</v>
      </c>
      <c r="J34" s="657">
        <v>6.2665400000000001E-3</v>
      </c>
      <c r="K34" s="658">
        <v>1.71339E-3</v>
      </c>
      <c r="L34" s="659">
        <v>0.87753383796266604</v>
      </c>
      <c r="M34" s="659">
        <v>-1.26062E-2</v>
      </c>
      <c r="N34" s="659">
        <v>8.6346700000000005E-3</v>
      </c>
      <c r="O34" s="660">
        <v>0.14430699999999999</v>
      </c>
      <c r="P34" s="656">
        <v>0.87729627040880331</v>
      </c>
      <c r="Q34" s="657">
        <v>-2.7492900000000001E-2</v>
      </c>
      <c r="R34" s="657">
        <v>9.1088200000000001E-3</v>
      </c>
      <c r="S34" s="658">
        <v>2.5433399999999998E-3</v>
      </c>
    </row>
    <row r="35" spans="1:19" s="661" customFormat="1" x14ac:dyDescent="0.25">
      <c r="A35" s="654" t="s">
        <v>149</v>
      </c>
      <c r="B35" s="654">
        <v>12</v>
      </c>
      <c r="C35" s="654">
        <v>124427306</v>
      </c>
      <c r="D35" s="654" t="s">
        <v>23</v>
      </c>
      <c r="E35" s="654" t="s">
        <v>16</v>
      </c>
      <c r="F35" s="655" t="s">
        <v>941</v>
      </c>
      <c r="G35" s="654" t="s">
        <v>150</v>
      </c>
      <c r="H35" s="656">
        <v>0.68896684806987551</v>
      </c>
      <c r="I35" s="657">
        <v>-1.9957599999999999E-2</v>
      </c>
      <c r="J35" s="657">
        <v>4.4367499999999997E-3</v>
      </c>
      <c r="K35" s="658">
        <v>6.8577899999999999E-6</v>
      </c>
      <c r="L35" s="659">
        <v>0.68982134838668285</v>
      </c>
      <c r="M35" s="659">
        <v>-1.3439599999999999E-2</v>
      </c>
      <c r="N35" s="659">
        <v>6.1041999999999997E-3</v>
      </c>
      <c r="O35" s="660">
        <v>2.7690599999999999E-2</v>
      </c>
      <c r="P35" s="656">
        <v>0.68801190028137715</v>
      </c>
      <c r="Q35" s="657">
        <v>-2.7259700000000001E-2</v>
      </c>
      <c r="R35" s="657">
        <v>6.4599499999999999E-3</v>
      </c>
      <c r="S35" s="658">
        <v>2.44912E-5</v>
      </c>
    </row>
    <row r="36" spans="1:19" s="661" customFormat="1" x14ac:dyDescent="0.25">
      <c r="A36" s="654" t="s">
        <v>219</v>
      </c>
      <c r="B36" s="654">
        <v>14</v>
      </c>
      <c r="C36" s="654">
        <v>58838668</v>
      </c>
      <c r="D36" s="654" t="s">
        <v>16</v>
      </c>
      <c r="E36" s="654" t="s">
        <v>24</v>
      </c>
      <c r="F36" s="655" t="s">
        <v>220</v>
      </c>
      <c r="G36" s="654" t="s">
        <v>96</v>
      </c>
      <c r="H36" s="656">
        <v>0.41412025086117155</v>
      </c>
      <c r="I36" s="657">
        <v>8.2357899999999998E-3</v>
      </c>
      <c r="J36" s="657">
        <v>4.1757900000000004E-3</v>
      </c>
      <c r="K36" s="658">
        <v>4.85808E-2</v>
      </c>
      <c r="L36" s="659">
        <v>0.41369796010007065</v>
      </c>
      <c r="M36" s="659">
        <v>5.1697599999999998E-3</v>
      </c>
      <c r="N36" s="659">
        <v>5.7443800000000003E-3</v>
      </c>
      <c r="O36" s="660">
        <v>0.368141</v>
      </c>
      <c r="P36" s="656">
        <v>0.41459218237539652</v>
      </c>
      <c r="Q36" s="657">
        <v>1.1671900000000001E-2</v>
      </c>
      <c r="R36" s="657">
        <v>6.0809699999999998E-3</v>
      </c>
      <c r="S36" s="658">
        <v>5.4937800000000002E-2</v>
      </c>
    </row>
    <row r="37" spans="1:19" s="661" customFormat="1" x14ac:dyDescent="0.25">
      <c r="A37" s="654" t="s">
        <v>152</v>
      </c>
      <c r="B37" s="654">
        <v>15</v>
      </c>
      <c r="C37" s="654">
        <v>42032383</v>
      </c>
      <c r="D37" s="654" t="s">
        <v>24</v>
      </c>
      <c r="E37" s="654" t="s">
        <v>17</v>
      </c>
      <c r="F37" s="655" t="s">
        <v>153</v>
      </c>
      <c r="G37" s="654" t="s">
        <v>154</v>
      </c>
      <c r="H37" s="656">
        <v>0.34485370663461784</v>
      </c>
      <c r="I37" s="657">
        <v>-4.8646100000000001E-3</v>
      </c>
      <c r="J37" s="657">
        <v>4.3287600000000001E-3</v>
      </c>
      <c r="K37" s="658">
        <v>0.261106</v>
      </c>
      <c r="L37" s="659">
        <v>0.34429726088908846</v>
      </c>
      <c r="M37" s="659">
        <v>9.1866500000000004E-4</v>
      </c>
      <c r="N37" s="659">
        <v>5.9622299999999998E-3</v>
      </c>
      <c r="O37" s="660">
        <v>0.87754699999999997</v>
      </c>
      <c r="P37" s="656">
        <v>0.3454755632023227</v>
      </c>
      <c r="Q37" s="657">
        <v>-1.1311699999999999E-2</v>
      </c>
      <c r="R37" s="657">
        <v>6.2949199999999999E-3</v>
      </c>
      <c r="S37" s="658">
        <v>7.2347900000000007E-2</v>
      </c>
    </row>
    <row r="38" spans="1:19" s="661" customFormat="1" x14ac:dyDescent="0.25">
      <c r="A38" s="654" t="s">
        <v>222</v>
      </c>
      <c r="B38" s="654">
        <v>15</v>
      </c>
      <c r="C38" s="654">
        <v>42115747</v>
      </c>
      <c r="D38" s="654" t="s">
        <v>17</v>
      </c>
      <c r="E38" s="654" t="s">
        <v>24</v>
      </c>
      <c r="F38" s="655" t="s">
        <v>223</v>
      </c>
      <c r="G38" s="654" t="s">
        <v>224</v>
      </c>
      <c r="H38" s="656">
        <v>0.33393989149661879</v>
      </c>
      <c r="I38" s="657">
        <v>-3.8478700000000002E-3</v>
      </c>
      <c r="J38" s="657">
        <v>4.3627400000000004E-3</v>
      </c>
      <c r="K38" s="658">
        <v>0.37778699999999998</v>
      </c>
      <c r="L38" s="659">
        <v>0.33376900378472002</v>
      </c>
      <c r="M38" s="659">
        <v>1.55981E-3</v>
      </c>
      <c r="N38" s="659">
        <v>6.00295E-3</v>
      </c>
      <c r="O38" s="660">
        <v>0.79498800000000003</v>
      </c>
      <c r="P38" s="656">
        <v>0.33413086725092744</v>
      </c>
      <c r="Q38" s="657">
        <v>-9.9020099999999993E-3</v>
      </c>
      <c r="R38" s="657">
        <v>6.3515000000000004E-3</v>
      </c>
      <c r="S38" s="658">
        <v>0.119002</v>
      </c>
    </row>
    <row r="39" spans="1:19" s="661" customFormat="1" x14ac:dyDescent="0.25">
      <c r="A39" s="654" t="s">
        <v>156</v>
      </c>
      <c r="B39" s="654">
        <v>15</v>
      </c>
      <c r="C39" s="654">
        <v>56756285</v>
      </c>
      <c r="D39" s="654" t="s">
        <v>24</v>
      </c>
      <c r="E39" s="654" t="s">
        <v>23</v>
      </c>
      <c r="F39" s="655" t="s">
        <v>157</v>
      </c>
      <c r="G39" s="654" t="s">
        <v>158</v>
      </c>
      <c r="H39" s="656">
        <v>0.10489365483737188</v>
      </c>
      <c r="I39" s="657">
        <v>5.4385400000000004E-3</v>
      </c>
      <c r="J39" s="657">
        <v>6.7165200000000001E-3</v>
      </c>
      <c r="K39" s="658">
        <v>0.418099</v>
      </c>
      <c r="L39" s="659">
        <v>0.10642921290653666</v>
      </c>
      <c r="M39" s="659">
        <v>1.13197E-2</v>
      </c>
      <c r="N39" s="659">
        <v>9.2269299999999995E-3</v>
      </c>
      <c r="O39" s="660">
        <v>0.21989800000000001</v>
      </c>
      <c r="P39" s="656">
        <v>0.10317759019302113</v>
      </c>
      <c r="Q39" s="657">
        <v>-1.1902200000000001E-3</v>
      </c>
      <c r="R39" s="657">
        <v>9.79644E-3</v>
      </c>
      <c r="S39" s="658">
        <v>0.90329899999999996</v>
      </c>
    </row>
    <row r="40" spans="1:19" s="661" customFormat="1" x14ac:dyDescent="0.25">
      <c r="A40" s="654" t="s">
        <v>161</v>
      </c>
      <c r="B40" s="654">
        <v>16</v>
      </c>
      <c r="C40" s="654">
        <v>4432029</v>
      </c>
      <c r="D40" s="654" t="s">
        <v>16</v>
      </c>
      <c r="E40" s="654" t="s">
        <v>17</v>
      </c>
      <c r="F40" s="655" t="s">
        <v>948</v>
      </c>
      <c r="G40" s="654" t="s">
        <v>162</v>
      </c>
      <c r="H40" s="656">
        <v>0.22718001235685936</v>
      </c>
      <c r="I40" s="657">
        <v>-5.6247199999999997E-3</v>
      </c>
      <c r="J40" s="657">
        <v>4.9164600000000001E-3</v>
      </c>
      <c r="K40" s="658">
        <v>0.25260199999999999</v>
      </c>
      <c r="L40" s="659">
        <v>0.22820578613124642</v>
      </c>
      <c r="M40" s="659">
        <v>-2.7039099999999999E-3</v>
      </c>
      <c r="N40" s="659">
        <v>6.7613300000000003E-3</v>
      </c>
      <c r="O40" s="660">
        <v>0.68922600000000001</v>
      </c>
      <c r="P40" s="656">
        <v>0.22603365772353357</v>
      </c>
      <c r="Q40" s="657">
        <v>-8.9021900000000008E-3</v>
      </c>
      <c r="R40" s="657">
        <v>7.162E-3</v>
      </c>
      <c r="S40" s="658">
        <v>0.21388199999999999</v>
      </c>
    </row>
    <row r="41" spans="1:19" s="661" customFormat="1" x14ac:dyDescent="0.25">
      <c r="A41" s="654" t="s">
        <v>164</v>
      </c>
      <c r="B41" s="654">
        <v>16</v>
      </c>
      <c r="C41" s="654">
        <v>4445327</v>
      </c>
      <c r="D41" s="654" t="s">
        <v>17</v>
      </c>
      <c r="E41" s="654" t="s">
        <v>23</v>
      </c>
      <c r="F41" s="655" t="s">
        <v>949</v>
      </c>
      <c r="G41" s="654" t="s">
        <v>165</v>
      </c>
      <c r="H41" s="656">
        <v>0.28122011290445437</v>
      </c>
      <c r="I41" s="657">
        <v>-1.3315899999999999E-3</v>
      </c>
      <c r="J41" s="657">
        <v>4.5683599999999996E-3</v>
      </c>
      <c r="K41" s="658">
        <v>0.77068400000000004</v>
      </c>
      <c r="L41" s="659">
        <v>0.2819696580922445</v>
      </c>
      <c r="M41" s="659">
        <v>-7.7598099999999998E-3</v>
      </c>
      <c r="N41" s="659">
        <v>6.2806900000000002E-3</v>
      </c>
      <c r="O41" s="660">
        <v>0.21664800000000001</v>
      </c>
      <c r="P41" s="656">
        <v>0.28038245783823501</v>
      </c>
      <c r="Q41" s="657">
        <v>5.8899399999999998E-3</v>
      </c>
      <c r="R41" s="657">
        <v>6.6570199999999996E-3</v>
      </c>
      <c r="S41" s="658">
        <v>0.37628400000000001</v>
      </c>
    </row>
    <row r="42" spans="1:19" s="661" customFormat="1" x14ac:dyDescent="0.25">
      <c r="A42" s="654" t="s">
        <v>167</v>
      </c>
      <c r="B42" s="654">
        <v>16</v>
      </c>
      <c r="C42" s="654">
        <v>4484396</v>
      </c>
      <c r="D42" s="654" t="s">
        <v>16</v>
      </c>
      <c r="E42" s="654" t="s">
        <v>23</v>
      </c>
      <c r="F42" s="655" t="s">
        <v>950</v>
      </c>
      <c r="G42" s="654" t="s">
        <v>168</v>
      </c>
      <c r="H42" s="656">
        <v>0.27916768935194203</v>
      </c>
      <c r="I42" s="657">
        <v>3.0511900000000001E-3</v>
      </c>
      <c r="J42" s="657">
        <v>4.5891500000000002E-3</v>
      </c>
      <c r="K42" s="658">
        <v>0.506135</v>
      </c>
      <c r="L42" s="659">
        <v>0.28001315029828722</v>
      </c>
      <c r="M42" s="659">
        <v>-1.78488E-3</v>
      </c>
      <c r="N42" s="659">
        <v>6.3141999999999998E-3</v>
      </c>
      <c r="O42" s="660">
        <v>0.77742500000000003</v>
      </c>
      <c r="P42" s="656">
        <v>0.27822284352205318</v>
      </c>
      <c r="Q42" s="657">
        <v>8.4665499999999998E-3</v>
      </c>
      <c r="R42" s="657">
        <v>6.6815499999999996E-3</v>
      </c>
      <c r="S42" s="658">
        <v>0.20510600000000001</v>
      </c>
    </row>
    <row r="43" spans="1:19" s="661" customFormat="1" x14ac:dyDescent="0.25">
      <c r="A43" s="654" t="s">
        <v>170</v>
      </c>
      <c r="B43" s="654">
        <v>16</v>
      </c>
      <c r="C43" s="654">
        <v>67397580</v>
      </c>
      <c r="D43" s="654" t="s">
        <v>24</v>
      </c>
      <c r="E43" s="654" t="s">
        <v>17</v>
      </c>
      <c r="F43" s="655" t="s">
        <v>171</v>
      </c>
      <c r="G43" s="654" t="s">
        <v>172</v>
      </c>
      <c r="H43" s="656">
        <v>0.95628972603319429</v>
      </c>
      <c r="I43" s="657">
        <v>1.3266699999999999E-2</v>
      </c>
      <c r="J43" s="657">
        <v>1.00778E-2</v>
      </c>
      <c r="K43" s="658">
        <v>0.188032</v>
      </c>
      <c r="L43" s="659">
        <v>0.9564677015844506</v>
      </c>
      <c r="M43" s="659">
        <v>6.1222400000000001E-3</v>
      </c>
      <c r="N43" s="659">
        <v>1.38885E-2</v>
      </c>
      <c r="O43" s="660">
        <v>0.65934899999999996</v>
      </c>
      <c r="P43" s="656">
        <v>0.95609082925605315</v>
      </c>
      <c r="Q43" s="657">
        <v>2.12122E-2</v>
      </c>
      <c r="R43" s="657">
        <v>1.46461E-2</v>
      </c>
      <c r="S43" s="658">
        <v>0.147534</v>
      </c>
    </row>
    <row r="44" spans="1:19" s="661" customFormat="1" x14ac:dyDescent="0.25">
      <c r="A44" s="654" t="s">
        <v>175</v>
      </c>
      <c r="B44" s="654">
        <v>16</v>
      </c>
      <c r="C44" s="654">
        <v>67409180</v>
      </c>
      <c r="D44" s="654" t="s">
        <v>24</v>
      </c>
      <c r="E44" s="654" t="s">
        <v>16</v>
      </c>
      <c r="F44" s="655" t="s">
        <v>171</v>
      </c>
      <c r="G44" s="654" t="s">
        <v>176</v>
      </c>
      <c r="H44" s="656">
        <v>0.95643360727192706</v>
      </c>
      <c r="I44" s="657">
        <v>1.1969499999999999E-2</v>
      </c>
      <c r="J44" s="657">
        <v>1.0092200000000001E-2</v>
      </c>
      <c r="K44" s="658">
        <v>0.23561699999999999</v>
      </c>
      <c r="L44" s="659">
        <v>0.95660401565206232</v>
      </c>
      <c r="M44" s="659">
        <v>5.3702300000000001E-3</v>
      </c>
      <c r="N44" s="659">
        <v>1.39074E-2</v>
      </c>
      <c r="O44" s="660">
        <v>0.69939200000000001</v>
      </c>
      <c r="P44" s="656">
        <v>0.95624316719536895</v>
      </c>
      <c r="Q44" s="657">
        <v>1.9310999999999998E-2</v>
      </c>
      <c r="R44" s="657">
        <v>1.4668199999999999E-2</v>
      </c>
      <c r="S44" s="658">
        <v>0.18800700000000001</v>
      </c>
    </row>
    <row r="45" spans="1:19" s="661" customFormat="1" x14ac:dyDescent="0.25">
      <c r="A45" s="654" t="s">
        <v>205</v>
      </c>
      <c r="B45" s="654">
        <v>17</v>
      </c>
      <c r="C45" s="654">
        <v>17425631</v>
      </c>
      <c r="D45" s="654" t="s">
        <v>17</v>
      </c>
      <c r="E45" s="654" t="s">
        <v>23</v>
      </c>
      <c r="F45" s="655" t="s">
        <v>206</v>
      </c>
      <c r="G45" s="654" t="s">
        <v>207</v>
      </c>
      <c r="H45" s="656">
        <v>0.52325374725990881</v>
      </c>
      <c r="I45" s="657">
        <v>-7.8923399999999994E-3</v>
      </c>
      <c r="J45" s="657">
        <v>4.1301999999999997E-3</v>
      </c>
      <c r="K45" s="658">
        <v>5.6021700000000001E-2</v>
      </c>
      <c r="L45" s="659">
        <v>0.52284463403682091</v>
      </c>
      <c r="M45" s="659">
        <v>-5.4670999999999999E-3</v>
      </c>
      <c r="N45" s="659">
        <v>5.68338E-3</v>
      </c>
      <c r="O45" s="660">
        <v>0.33608100000000002</v>
      </c>
      <c r="P45" s="656">
        <v>0.52371095220173125</v>
      </c>
      <c r="Q45" s="657">
        <v>-1.06068E-2</v>
      </c>
      <c r="R45" s="657">
        <v>6.0125700000000001E-3</v>
      </c>
      <c r="S45" s="658">
        <v>7.77201E-2</v>
      </c>
    </row>
    <row r="46" spans="1:19" s="661" customFormat="1" x14ac:dyDescent="0.25">
      <c r="A46" s="654" t="s">
        <v>178</v>
      </c>
      <c r="B46" s="654">
        <v>19</v>
      </c>
      <c r="C46" s="654">
        <v>18285944</v>
      </c>
      <c r="D46" s="654" t="s">
        <v>16</v>
      </c>
      <c r="E46" s="654" t="s">
        <v>24</v>
      </c>
      <c r="F46" s="655" t="s">
        <v>957</v>
      </c>
      <c r="G46" s="654" t="s">
        <v>179</v>
      </c>
      <c r="H46" s="656">
        <v>0.26942185132836238</v>
      </c>
      <c r="I46" s="657">
        <v>2.45486E-2</v>
      </c>
      <c r="J46" s="657">
        <v>4.6333399999999997E-3</v>
      </c>
      <c r="K46" s="658">
        <v>1.1712000000000001E-7</v>
      </c>
      <c r="L46" s="659">
        <v>0.27040701776893966</v>
      </c>
      <c r="M46" s="659">
        <v>2.4898099999999999E-2</v>
      </c>
      <c r="N46" s="659">
        <v>6.3735800000000002E-3</v>
      </c>
      <c r="O46" s="660">
        <v>9.3756600000000003E-5</v>
      </c>
      <c r="P46" s="656">
        <v>0.26832087746653044</v>
      </c>
      <c r="Q46" s="657">
        <v>2.4157499999999998E-2</v>
      </c>
      <c r="R46" s="657">
        <v>6.7476599999999999E-3</v>
      </c>
      <c r="S46" s="658">
        <v>3.4371400000000001E-4</v>
      </c>
    </row>
    <row r="47" spans="1:19" s="661" customFormat="1" x14ac:dyDescent="0.25">
      <c r="A47" s="654" t="s">
        <v>182</v>
      </c>
      <c r="B47" s="654">
        <v>19</v>
      </c>
      <c r="C47" s="654">
        <v>18304700</v>
      </c>
      <c r="D47" s="654" t="s">
        <v>24</v>
      </c>
      <c r="E47" s="654" t="s">
        <v>16</v>
      </c>
      <c r="F47" s="655" t="s">
        <v>958</v>
      </c>
      <c r="G47" s="654" t="s">
        <v>183</v>
      </c>
      <c r="H47" s="656">
        <v>0.28576929912909532</v>
      </c>
      <c r="I47" s="657">
        <v>2.3430900000000001E-2</v>
      </c>
      <c r="J47" s="657">
        <v>4.5544699999999997E-3</v>
      </c>
      <c r="K47" s="658">
        <v>2.6853199999999999E-7</v>
      </c>
      <c r="L47" s="659">
        <v>0.28625152351016742</v>
      </c>
      <c r="M47" s="659">
        <v>2.4236400000000002E-2</v>
      </c>
      <c r="N47" s="659">
        <v>6.2712200000000001E-3</v>
      </c>
      <c r="O47" s="660">
        <v>1.1133600000000001E-4</v>
      </c>
      <c r="P47" s="656">
        <v>0.28523038873057693</v>
      </c>
      <c r="Q47" s="657">
        <v>2.2531900000000001E-2</v>
      </c>
      <c r="R47" s="657">
        <v>6.6254699999999996E-3</v>
      </c>
      <c r="S47" s="658">
        <v>6.7236399999999995E-4</v>
      </c>
    </row>
    <row r="48" spans="1:19" s="661" customFormat="1" x14ac:dyDescent="0.25">
      <c r="A48" s="654" t="s">
        <v>185</v>
      </c>
      <c r="B48" s="654">
        <v>19</v>
      </c>
      <c r="C48" s="654">
        <v>49232226</v>
      </c>
      <c r="D48" s="654" t="s">
        <v>16</v>
      </c>
      <c r="E48" s="654" t="s">
        <v>24</v>
      </c>
      <c r="F48" s="655" t="s">
        <v>186</v>
      </c>
      <c r="G48" s="654" t="s">
        <v>187</v>
      </c>
      <c r="H48" s="656">
        <v>0.53649928482560749</v>
      </c>
      <c r="I48" s="657">
        <v>-8.9887000000000005E-3</v>
      </c>
      <c r="J48" s="657">
        <v>4.12941E-3</v>
      </c>
      <c r="K48" s="658">
        <v>2.9501099999999999E-2</v>
      </c>
      <c r="L48" s="659">
        <v>0.53844858554108666</v>
      </c>
      <c r="M48" s="659">
        <v>-8.7270799999999999E-3</v>
      </c>
      <c r="N48" s="659">
        <v>5.6888800000000003E-3</v>
      </c>
      <c r="O48" s="660">
        <v>0.12501999999999999</v>
      </c>
      <c r="P48" s="656">
        <v>0.53432084162230942</v>
      </c>
      <c r="Q48" s="657">
        <v>-9.2807500000000008E-3</v>
      </c>
      <c r="R48" s="657">
        <v>6.0038699999999997E-3</v>
      </c>
      <c r="S48" s="658">
        <v>0.12216</v>
      </c>
    </row>
    <row r="49" spans="1:41" s="661" customFormat="1" x14ac:dyDescent="0.25">
      <c r="A49" s="654" t="s">
        <v>189</v>
      </c>
      <c r="B49" s="654">
        <v>19</v>
      </c>
      <c r="C49" s="654">
        <v>49244220</v>
      </c>
      <c r="D49" s="654" t="s">
        <v>24</v>
      </c>
      <c r="E49" s="654" t="s">
        <v>16</v>
      </c>
      <c r="F49" s="655" t="s">
        <v>190</v>
      </c>
      <c r="G49" s="654" t="s">
        <v>191</v>
      </c>
      <c r="H49" s="656">
        <v>0.57215220942337486</v>
      </c>
      <c r="I49" s="657">
        <v>-1.55338E-2</v>
      </c>
      <c r="J49" s="657">
        <v>4.1547499999999996E-3</v>
      </c>
      <c r="K49" s="658">
        <v>1.8497899999999999E-4</v>
      </c>
      <c r="L49" s="659">
        <v>0.57437937006863815</v>
      </c>
      <c r="M49" s="659">
        <v>-1.4262499999999999E-2</v>
      </c>
      <c r="N49" s="659">
        <v>5.7260899999999997E-3</v>
      </c>
      <c r="O49" s="660">
        <v>1.27487E-2</v>
      </c>
      <c r="P49" s="656">
        <v>0.56966324354355968</v>
      </c>
      <c r="Q49" s="657">
        <v>-1.6949100000000002E-2</v>
      </c>
      <c r="R49" s="657">
        <v>6.0380900000000003E-3</v>
      </c>
      <c r="S49" s="658">
        <v>5.0018600000000003E-3</v>
      </c>
    </row>
    <row r="50" spans="1:41" s="661" customFormat="1" x14ac:dyDescent="0.25">
      <c r="A50" s="654" t="s">
        <v>193</v>
      </c>
      <c r="B50" s="654">
        <v>20</v>
      </c>
      <c r="C50" s="654">
        <v>33971914</v>
      </c>
      <c r="D50" s="654" t="s">
        <v>23</v>
      </c>
      <c r="E50" s="654" t="s">
        <v>17</v>
      </c>
      <c r="F50" s="655" t="s">
        <v>265</v>
      </c>
      <c r="G50" s="654" t="s">
        <v>194</v>
      </c>
      <c r="H50" s="656">
        <v>0.63254424348091032</v>
      </c>
      <c r="I50" s="657">
        <v>4.1849299999999999E-3</v>
      </c>
      <c r="J50" s="657">
        <v>4.2572499999999997E-3</v>
      </c>
      <c r="K50" s="658">
        <v>0.32560299999999998</v>
      </c>
      <c r="L50" s="659">
        <v>0.63483866829174418</v>
      </c>
      <c r="M50" s="659">
        <v>-7.8999599999999993E-3</v>
      </c>
      <c r="N50" s="659">
        <v>5.8823900000000004E-3</v>
      </c>
      <c r="O50" s="660">
        <v>0.179282</v>
      </c>
      <c r="P50" s="656">
        <v>0.62998010645733638</v>
      </c>
      <c r="Q50" s="657">
        <v>1.74786E-2</v>
      </c>
      <c r="R50" s="657">
        <v>6.1691100000000002E-3</v>
      </c>
      <c r="S50" s="658">
        <v>4.6095499999999996E-3</v>
      </c>
    </row>
    <row r="51" spans="1:41" s="661" customFormat="1" x14ac:dyDescent="0.25">
      <c r="A51" s="662" t="s">
        <v>197</v>
      </c>
      <c r="B51" s="662">
        <v>20</v>
      </c>
      <c r="C51" s="662">
        <v>34022387</v>
      </c>
      <c r="D51" s="662" t="s">
        <v>16</v>
      </c>
      <c r="E51" s="662" t="s">
        <v>17</v>
      </c>
      <c r="F51" s="663" t="s">
        <v>959</v>
      </c>
      <c r="G51" s="662" t="s">
        <v>198</v>
      </c>
      <c r="H51" s="664">
        <v>0.6590035801037637</v>
      </c>
      <c r="I51" s="665">
        <v>1.4325799999999999E-3</v>
      </c>
      <c r="J51" s="665">
        <v>4.3347100000000003E-3</v>
      </c>
      <c r="K51" s="666">
        <v>0.74102999999999997</v>
      </c>
      <c r="L51" s="665">
        <v>0.6613418115337738</v>
      </c>
      <c r="M51" s="665">
        <v>-1.1186400000000001E-2</v>
      </c>
      <c r="N51" s="665">
        <v>5.9862700000000001E-3</v>
      </c>
      <c r="O51" s="667">
        <v>6.16716E-2</v>
      </c>
      <c r="P51" s="664">
        <v>0.65639012850153233</v>
      </c>
      <c r="Q51" s="665">
        <v>1.53434E-2</v>
      </c>
      <c r="R51" s="665">
        <v>6.2850099999999997E-3</v>
      </c>
      <c r="S51" s="666">
        <v>1.4638999999999999E-2</v>
      </c>
    </row>
    <row r="52" spans="1:41" s="668" customFormat="1" ht="30" customHeight="1" x14ac:dyDescent="0.25">
      <c r="A52" s="1425" t="s">
        <v>225</v>
      </c>
      <c r="B52" s="1425"/>
      <c r="C52" s="1425"/>
      <c r="D52" s="1425"/>
      <c r="E52" s="1425"/>
      <c r="F52" s="1425"/>
      <c r="G52" s="1425"/>
      <c r="H52" s="1425"/>
      <c r="I52" s="1425"/>
      <c r="J52" s="1425"/>
      <c r="K52" s="1425"/>
      <c r="L52" s="1425"/>
      <c r="M52" s="1425"/>
      <c r="N52" s="1425"/>
      <c r="O52" s="1425"/>
      <c r="P52" s="1425"/>
      <c r="Q52" s="1425"/>
      <c r="R52" s="1425"/>
      <c r="S52" s="1425"/>
      <c r="T52" s="669"/>
      <c r="U52" s="669"/>
      <c r="V52" s="669"/>
      <c r="W52" s="670"/>
      <c r="X52" s="670"/>
      <c r="Y52" s="669"/>
      <c r="Z52" s="669"/>
      <c r="AA52" s="669"/>
      <c r="AB52" s="670"/>
      <c r="AC52" s="670"/>
      <c r="AD52" s="670"/>
      <c r="AE52" s="669"/>
      <c r="AF52" s="669"/>
      <c r="AG52" s="669"/>
      <c r="AH52" s="670"/>
      <c r="AK52" s="670"/>
      <c r="AM52" s="669"/>
      <c r="AN52" s="669"/>
      <c r="AO52" s="669"/>
    </row>
    <row r="53" spans="1:41" s="668" customFormat="1" x14ac:dyDescent="0.25">
      <c r="A53" s="383" t="s">
        <v>2062</v>
      </c>
      <c r="F53" s="382"/>
      <c r="G53" s="382"/>
      <c r="H53" s="669"/>
      <c r="I53" s="669"/>
      <c r="J53" s="669"/>
      <c r="K53" s="670"/>
      <c r="L53" s="669"/>
      <c r="M53" s="669"/>
      <c r="N53" s="669"/>
      <c r="O53" s="670"/>
      <c r="P53" s="669"/>
      <c r="Q53" s="669"/>
      <c r="R53" s="669"/>
      <c r="S53" s="670"/>
      <c r="T53" s="669"/>
      <c r="U53" s="669"/>
      <c r="V53" s="669"/>
      <c r="W53" s="670"/>
      <c r="X53" s="670"/>
      <c r="Y53" s="669"/>
      <c r="Z53" s="669"/>
      <c r="AA53" s="669"/>
      <c r="AB53" s="670"/>
      <c r="AC53" s="670"/>
      <c r="AD53" s="670"/>
      <c r="AE53" s="669"/>
      <c r="AF53" s="669"/>
      <c r="AG53" s="669"/>
      <c r="AH53" s="670"/>
      <c r="AK53" s="670"/>
      <c r="AM53" s="669"/>
      <c r="AN53" s="669"/>
      <c r="AO53" s="669"/>
    </row>
    <row r="54" spans="1:41" s="668" customFormat="1" x14ac:dyDescent="0.25">
      <c r="A54" s="383" t="s">
        <v>2063</v>
      </c>
      <c r="F54" s="382"/>
      <c r="G54" s="382"/>
      <c r="H54" s="669"/>
      <c r="I54" s="669"/>
      <c r="J54" s="669"/>
      <c r="K54" s="670"/>
      <c r="L54" s="669"/>
      <c r="M54" s="669"/>
      <c r="N54" s="669"/>
      <c r="O54" s="670"/>
      <c r="P54" s="669"/>
      <c r="Q54" s="669"/>
      <c r="R54" s="669"/>
      <c r="S54" s="670"/>
      <c r="T54" s="669"/>
      <c r="U54" s="669"/>
      <c r="V54" s="669"/>
      <c r="W54" s="670"/>
      <c r="X54" s="670"/>
      <c r="Y54" s="669"/>
      <c r="Z54" s="669"/>
      <c r="AA54" s="669"/>
      <c r="AB54" s="670"/>
      <c r="AC54" s="670"/>
      <c r="AD54" s="670"/>
      <c r="AE54" s="669"/>
      <c r="AF54" s="669"/>
      <c r="AG54" s="669"/>
      <c r="AH54" s="670"/>
      <c r="AK54" s="670"/>
      <c r="AM54" s="669"/>
      <c r="AN54" s="669"/>
      <c r="AO54" s="669"/>
    </row>
    <row r="55" spans="1:41" s="668" customFormat="1" x14ac:dyDescent="0.25">
      <c r="A55" s="384" t="s">
        <v>228</v>
      </c>
      <c r="F55" s="382"/>
      <c r="G55" s="382"/>
      <c r="H55" s="669"/>
      <c r="I55" s="669"/>
      <c r="J55" s="669"/>
      <c r="K55" s="670"/>
      <c r="L55" s="669"/>
      <c r="M55" s="669"/>
      <c r="N55" s="669"/>
      <c r="O55" s="670"/>
      <c r="P55" s="669"/>
      <c r="Q55" s="669"/>
      <c r="R55" s="669"/>
      <c r="S55" s="670"/>
      <c r="T55" s="669"/>
      <c r="U55" s="669"/>
      <c r="V55" s="669"/>
      <c r="W55" s="670"/>
      <c r="X55" s="670"/>
      <c r="Y55" s="669"/>
      <c r="Z55" s="669"/>
      <c r="AA55" s="669"/>
      <c r="AB55" s="670"/>
      <c r="AC55" s="670"/>
      <c r="AD55" s="670"/>
      <c r="AE55" s="669"/>
      <c r="AF55" s="669"/>
      <c r="AG55" s="669"/>
      <c r="AH55" s="670"/>
      <c r="AK55" s="670"/>
      <c r="AM55" s="669"/>
      <c r="AN55" s="669"/>
      <c r="AO55" s="669"/>
    </row>
    <row r="56" spans="1:41" s="668" customFormat="1" x14ac:dyDescent="0.25">
      <c r="A56" s="385" t="s">
        <v>996</v>
      </c>
      <c r="F56" s="382"/>
      <c r="G56" s="382"/>
      <c r="H56" s="669"/>
      <c r="I56" s="669"/>
      <c r="J56" s="669"/>
      <c r="K56" s="670"/>
      <c r="L56" s="669"/>
      <c r="M56" s="669"/>
      <c r="N56" s="669"/>
      <c r="O56" s="670"/>
      <c r="P56" s="669"/>
      <c r="Q56" s="669"/>
      <c r="R56" s="669"/>
      <c r="S56" s="670"/>
      <c r="T56" s="669"/>
      <c r="U56" s="669"/>
      <c r="V56" s="669"/>
      <c r="W56" s="670"/>
      <c r="X56" s="670"/>
      <c r="Y56" s="669"/>
      <c r="Z56" s="669"/>
      <c r="AA56" s="669"/>
      <c r="AB56" s="670"/>
      <c r="AC56" s="670"/>
      <c r="AD56" s="670"/>
      <c r="AE56" s="669"/>
      <c r="AF56" s="669"/>
      <c r="AG56" s="669"/>
      <c r="AH56" s="670"/>
      <c r="AK56" s="670"/>
      <c r="AM56" s="669"/>
      <c r="AN56" s="669"/>
      <c r="AO56" s="669"/>
    </row>
    <row r="57" spans="1:41" x14ac:dyDescent="0.25">
      <c r="A57" s="160" t="s">
        <v>5283</v>
      </c>
    </row>
    <row r="60" spans="1:41" x14ac:dyDescent="0.25">
      <c r="F60" s="650" t="s">
        <v>1</v>
      </c>
    </row>
  </sheetData>
  <mergeCells count="10">
    <mergeCell ref="A52:S52"/>
    <mergeCell ref="H2:K2"/>
    <mergeCell ref="L2:O2"/>
    <mergeCell ref="P2:S2"/>
    <mergeCell ref="A2:A3"/>
    <mergeCell ref="B2:B3"/>
    <mergeCell ref="C2:C3"/>
    <mergeCell ref="D2:E2"/>
    <mergeCell ref="F2:F3"/>
    <mergeCell ref="G2:G3"/>
  </mergeCells>
  <phoneticPr fontId="101" type="noConversion"/>
  <conditionalFormatting sqref="K1:K2 K4:K51 K53:K1048576">
    <cfRule type="cellIs" dxfId="28" priority="11" operator="lessThan">
      <formula>0.001</formula>
    </cfRule>
  </conditionalFormatting>
  <conditionalFormatting sqref="O1:O2 O4:O51 O53:O1048576">
    <cfRule type="cellIs" dxfId="27" priority="10" operator="lessThan">
      <formula>0.001</formula>
    </cfRule>
  </conditionalFormatting>
  <conditionalFormatting sqref="S1:S2 S4:S51 S53:S1048576">
    <cfRule type="cellIs" dxfId="26" priority="9" operator="lessThan">
      <formula>0.001</formula>
    </cfRule>
  </conditionalFormatting>
  <conditionalFormatting sqref="H1:H51 H53:H1048576">
    <cfRule type="cellIs" dxfId="25" priority="7" operator="lessThan">
      <formula>0.05</formula>
    </cfRule>
    <cfRule type="cellIs" dxfId="24" priority="8" operator="greaterThan">
      <formula>0.95</formula>
    </cfRule>
  </conditionalFormatting>
  <conditionalFormatting sqref="S3">
    <cfRule type="cellIs" dxfId="23" priority="5" operator="lessThan">
      <formula>0.00098</formula>
    </cfRule>
    <cfRule type="cellIs" dxfId="22" priority="6" operator="lessThan">
      <formula>0.00002</formula>
    </cfRule>
  </conditionalFormatting>
  <conditionalFormatting sqref="O3">
    <cfRule type="cellIs" dxfId="21" priority="3" operator="lessThan">
      <formula>0.00098</formula>
    </cfRule>
    <cfRule type="cellIs" dxfId="20" priority="4" operator="lessThan">
      <formula>0.00002</formula>
    </cfRule>
  </conditionalFormatting>
  <conditionalFormatting sqref="K3">
    <cfRule type="cellIs" dxfId="19" priority="1" operator="lessThan">
      <formula>0.00098</formula>
    </cfRule>
    <cfRule type="cellIs" dxfId="18" priority="2" operator="lessThan">
      <formula>0.00002</formula>
    </cfRule>
  </conditionalFormatting>
  <pageMargins left="0.5" right="0.5" top="0.5" bottom="0.5" header="0.05" footer="0.05"/>
  <pageSetup scale="68" fitToHeight="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7"/>
  <sheetViews>
    <sheetView workbookViewId="0">
      <selection activeCell="H12" sqref="H12"/>
    </sheetView>
  </sheetViews>
  <sheetFormatPr defaultColWidth="8.7109375" defaultRowHeight="15" x14ac:dyDescent="0.25"/>
  <cols>
    <col min="1" max="1" width="10.85546875" style="781" customWidth="1"/>
    <col min="2" max="2" width="12.42578125" style="781" customWidth="1"/>
    <col min="3" max="3" width="12.85546875" style="781" customWidth="1"/>
    <col min="4" max="4" width="5.28515625" style="781" bestFit="1" customWidth="1"/>
    <col min="5" max="5" width="5.42578125" style="781" bestFit="1" customWidth="1"/>
    <col min="6" max="6" width="11.7109375" style="873" customWidth="1"/>
    <col min="7" max="7" width="17.28515625" style="781" bestFit="1" customWidth="1"/>
    <col min="8" max="8" width="21.7109375" style="628" customWidth="1"/>
    <col min="9" max="9" width="8.42578125" style="781" customWidth="1"/>
    <col min="10" max="10" width="10.28515625" style="629" bestFit="1" customWidth="1"/>
    <col min="11" max="11" width="9.42578125" style="629" bestFit="1" customWidth="1"/>
    <col min="12" max="12" width="6.7109375" style="629" bestFit="1" customWidth="1"/>
    <col min="13" max="13" width="10.42578125" style="781" customWidth="1"/>
    <col min="14" max="14" width="13" style="630" bestFit="1" customWidth="1"/>
    <col min="15" max="16384" width="8.7109375" style="781"/>
  </cols>
  <sheetData>
    <row r="1" spans="1:17" ht="17.25" x14ac:dyDescent="0.25">
      <c r="A1" s="791" t="s">
        <v>5562</v>
      </c>
      <c r="B1" s="801"/>
      <c r="C1" s="801"/>
      <c r="D1" s="801"/>
      <c r="E1" s="801"/>
      <c r="G1" s="801"/>
      <c r="H1" s="803"/>
      <c r="I1" s="801"/>
      <c r="M1" s="629"/>
      <c r="O1" s="801"/>
      <c r="P1" s="801"/>
      <c r="Q1" s="801"/>
    </row>
    <row r="3" spans="1:17" ht="63" thickBot="1" x14ac:dyDescent="0.3">
      <c r="A3" s="933" t="s">
        <v>5269</v>
      </c>
      <c r="B3" s="788" t="s">
        <v>2</v>
      </c>
      <c r="C3" s="311" t="s">
        <v>3</v>
      </c>
      <c r="D3" s="788" t="s">
        <v>4</v>
      </c>
      <c r="E3" s="788" t="s">
        <v>5</v>
      </c>
      <c r="F3" s="788" t="s">
        <v>893</v>
      </c>
      <c r="G3" s="788" t="s">
        <v>6</v>
      </c>
      <c r="H3" s="615" t="s">
        <v>271</v>
      </c>
      <c r="I3" s="311" t="s">
        <v>7</v>
      </c>
      <c r="J3" s="310" t="s">
        <v>8</v>
      </c>
      <c r="K3" s="310" t="s">
        <v>9</v>
      </c>
      <c r="L3" s="316" t="s">
        <v>10</v>
      </c>
      <c r="M3" s="789" t="s">
        <v>11</v>
      </c>
      <c r="N3" s="790" t="s">
        <v>12</v>
      </c>
      <c r="O3" s="801"/>
      <c r="P3" s="801"/>
      <c r="Q3" s="801"/>
    </row>
    <row r="4" spans="1:17" s="633" customFormat="1" ht="29.25" customHeight="1" thickTop="1" x14ac:dyDescent="0.25">
      <c r="A4" s="1237" t="s">
        <v>272</v>
      </c>
      <c r="B4" s="1237"/>
      <c r="C4" s="1237"/>
      <c r="D4" s="1237"/>
      <c r="E4" s="1237"/>
      <c r="F4" s="1237"/>
      <c r="G4" s="1237"/>
      <c r="H4" s="1237"/>
      <c r="I4" s="1237"/>
      <c r="J4" s="1237"/>
      <c r="K4" s="1237"/>
      <c r="L4" s="1237"/>
      <c r="M4" s="1237"/>
      <c r="N4" s="1237"/>
      <c r="O4" s="787"/>
      <c r="P4" s="787"/>
      <c r="Q4" s="787"/>
    </row>
    <row r="5" spans="1:17" x14ac:dyDescent="0.25">
      <c r="A5" s="1242" t="s">
        <v>13</v>
      </c>
      <c r="B5" s="1242"/>
      <c r="C5" s="1242"/>
      <c r="D5" s="1242"/>
      <c r="E5" s="1242"/>
      <c r="F5" s="1242"/>
      <c r="G5" s="1242"/>
      <c r="H5" s="1242"/>
      <c r="I5" s="1242"/>
      <c r="J5" s="1242"/>
      <c r="K5" s="1242"/>
      <c r="L5" s="1242"/>
      <c r="M5" s="1242"/>
      <c r="N5" s="1242"/>
      <c r="O5" s="801"/>
      <c r="P5" s="801"/>
      <c r="Q5" s="801"/>
    </row>
    <row r="6" spans="1:17" x14ac:dyDescent="0.25">
      <c r="A6" s="801">
        <v>1</v>
      </c>
      <c r="B6" s="801" t="s">
        <v>31</v>
      </c>
      <c r="C6" s="801" t="s">
        <v>32</v>
      </c>
      <c r="D6" s="801" t="s">
        <v>23</v>
      </c>
      <c r="E6" s="801" t="s">
        <v>24</v>
      </c>
      <c r="F6" s="873" t="s">
        <v>33</v>
      </c>
      <c r="G6" s="801" t="s">
        <v>34</v>
      </c>
      <c r="H6" s="803" t="s">
        <v>35</v>
      </c>
      <c r="I6" s="631">
        <v>455526</v>
      </c>
      <c r="J6" s="629">
        <v>0.98899999999999999</v>
      </c>
      <c r="K6" s="629">
        <v>6.5199999999999994E-2</v>
      </c>
      <c r="L6" s="629">
        <v>1.0500000000000001E-2</v>
      </c>
      <c r="M6" s="934">
        <v>4.8099999999999999E-10</v>
      </c>
      <c r="N6" s="842">
        <v>1.7100000000000001E-7</v>
      </c>
      <c r="O6" s="801"/>
      <c r="P6" s="801"/>
      <c r="Q6" s="801"/>
    </row>
    <row r="7" spans="1:17" x14ac:dyDescent="0.25">
      <c r="A7" s="801">
        <v>2</v>
      </c>
      <c r="B7" s="801" t="s">
        <v>46</v>
      </c>
      <c r="C7" s="801" t="s">
        <v>47</v>
      </c>
      <c r="D7" s="801" t="s">
        <v>24</v>
      </c>
      <c r="E7" s="801" t="s">
        <v>16</v>
      </c>
      <c r="F7" s="873" t="s">
        <v>48</v>
      </c>
      <c r="G7" s="801" t="s">
        <v>49</v>
      </c>
      <c r="H7" s="803" t="s">
        <v>35</v>
      </c>
      <c r="I7" s="631">
        <v>455424</v>
      </c>
      <c r="J7" s="629">
        <v>0.1348</v>
      </c>
      <c r="K7" s="629">
        <v>1.6299999999999999E-2</v>
      </c>
      <c r="L7" s="629">
        <v>3.0999999999999999E-3</v>
      </c>
      <c r="M7" s="934">
        <v>1.8699999999999999E-7</v>
      </c>
      <c r="N7" s="632">
        <v>0.88411050000000002</v>
      </c>
      <c r="O7" s="801"/>
      <c r="P7" s="801"/>
      <c r="Q7" s="801"/>
    </row>
    <row r="8" spans="1:17" x14ac:dyDescent="0.25">
      <c r="A8" s="801">
        <v>3</v>
      </c>
      <c r="B8" s="801" t="s">
        <v>71</v>
      </c>
      <c r="C8" s="801" t="s">
        <v>72</v>
      </c>
      <c r="D8" s="801" t="s">
        <v>24</v>
      </c>
      <c r="E8" s="801" t="s">
        <v>16</v>
      </c>
      <c r="F8" s="873" t="s">
        <v>73</v>
      </c>
      <c r="G8" s="801" t="s">
        <v>74</v>
      </c>
      <c r="H8" s="803" t="s">
        <v>35</v>
      </c>
      <c r="I8" s="631">
        <v>461521</v>
      </c>
      <c r="J8" s="629">
        <v>0.18729999999999999</v>
      </c>
      <c r="K8" s="629">
        <v>1.4999999999999999E-2</v>
      </c>
      <c r="L8" s="629">
        <v>2.7000000000000001E-3</v>
      </c>
      <c r="M8" s="934">
        <v>2.6099999999999999E-8</v>
      </c>
      <c r="N8" s="632">
        <v>5.1836E-3</v>
      </c>
      <c r="O8" s="801"/>
      <c r="P8" s="801"/>
      <c r="Q8" s="801"/>
    </row>
    <row r="9" spans="1:17" x14ac:dyDescent="0.25">
      <c r="A9" s="801">
        <v>4</v>
      </c>
      <c r="B9" s="801" t="s">
        <v>85</v>
      </c>
      <c r="C9" s="801" t="s">
        <v>86</v>
      </c>
      <c r="D9" s="801" t="s">
        <v>23</v>
      </c>
      <c r="E9" s="801" t="s">
        <v>17</v>
      </c>
      <c r="F9" s="873" t="s">
        <v>87</v>
      </c>
      <c r="G9" s="801" t="s">
        <v>88</v>
      </c>
      <c r="H9" s="803" t="s">
        <v>35</v>
      </c>
      <c r="I9" s="631">
        <v>217995</v>
      </c>
      <c r="J9" s="629">
        <v>1.4E-3</v>
      </c>
      <c r="K9" s="629">
        <v>0.22900000000000001</v>
      </c>
      <c r="L9" s="629">
        <v>4.1799999999999997E-2</v>
      </c>
      <c r="M9" s="934">
        <v>4.3000000000000001E-8</v>
      </c>
      <c r="N9" s="632">
        <v>0.62699170000000004</v>
      </c>
      <c r="O9" s="801"/>
      <c r="P9" s="801"/>
      <c r="Q9" s="801"/>
    </row>
    <row r="10" spans="1:17" x14ac:dyDescent="0.25">
      <c r="A10" s="801">
        <v>5</v>
      </c>
      <c r="B10" s="801" t="s">
        <v>101</v>
      </c>
      <c r="C10" s="801" t="s">
        <v>102</v>
      </c>
      <c r="D10" s="801" t="s">
        <v>17</v>
      </c>
      <c r="E10" s="801" t="s">
        <v>23</v>
      </c>
      <c r="F10" s="873" t="s">
        <v>103</v>
      </c>
      <c r="G10" s="801" t="s">
        <v>104</v>
      </c>
      <c r="H10" s="803" t="s">
        <v>35</v>
      </c>
      <c r="I10" s="631">
        <v>475748</v>
      </c>
      <c r="J10" s="629">
        <v>0.2205</v>
      </c>
      <c r="K10" s="629">
        <v>1.3599999999999999E-2</v>
      </c>
      <c r="L10" s="629">
        <v>2.5000000000000001E-3</v>
      </c>
      <c r="M10" s="934">
        <v>6.2400000000000003E-8</v>
      </c>
      <c r="N10" s="632">
        <v>3.3766E-3</v>
      </c>
      <c r="O10" s="801"/>
      <c r="P10" s="801"/>
      <c r="Q10" s="801"/>
    </row>
    <row r="11" spans="1:17" x14ac:dyDescent="0.25">
      <c r="A11" s="801">
        <v>6</v>
      </c>
      <c r="B11" s="801" t="s">
        <v>118</v>
      </c>
      <c r="C11" s="801" t="s">
        <v>119</v>
      </c>
      <c r="D11" s="801" t="s">
        <v>23</v>
      </c>
      <c r="E11" s="801" t="s">
        <v>17</v>
      </c>
      <c r="F11" s="873" t="s">
        <v>120</v>
      </c>
      <c r="G11" s="801" t="s">
        <v>96</v>
      </c>
      <c r="H11" s="803" t="s">
        <v>35</v>
      </c>
      <c r="I11" s="631">
        <v>236962</v>
      </c>
      <c r="J11" s="629">
        <v>8.9999999999999998E-4</v>
      </c>
      <c r="K11" s="629">
        <v>0.25829999999999997</v>
      </c>
      <c r="L11" s="629">
        <v>4.9000000000000002E-2</v>
      </c>
      <c r="M11" s="934">
        <v>1.3799999999999999E-7</v>
      </c>
      <c r="N11" s="632">
        <v>0.10897859999999999</v>
      </c>
      <c r="O11" s="801"/>
      <c r="P11" s="801"/>
      <c r="Q11" s="801"/>
    </row>
    <row r="12" spans="1:17" x14ac:dyDescent="0.25">
      <c r="A12" s="801">
        <v>7</v>
      </c>
      <c r="B12" s="801" t="s">
        <v>126</v>
      </c>
      <c r="C12" s="801" t="s">
        <v>127</v>
      </c>
      <c r="D12" s="801" t="s">
        <v>17</v>
      </c>
      <c r="E12" s="801" t="s">
        <v>16</v>
      </c>
      <c r="F12" s="873" t="s">
        <v>128</v>
      </c>
      <c r="G12" s="801" t="s">
        <v>129</v>
      </c>
      <c r="H12" s="803" t="s">
        <v>35</v>
      </c>
      <c r="I12" s="631">
        <v>448861</v>
      </c>
      <c r="J12" s="629">
        <v>0.95430000000000004</v>
      </c>
      <c r="K12" s="629">
        <v>2.92E-2</v>
      </c>
      <c r="L12" s="629">
        <v>5.1999999999999998E-3</v>
      </c>
      <c r="M12" s="934">
        <v>1.7500000000000001E-8</v>
      </c>
      <c r="N12" s="632">
        <v>0.43734580000000001</v>
      </c>
      <c r="O12" s="801"/>
      <c r="P12" s="801"/>
      <c r="Q12" s="801"/>
    </row>
    <row r="13" spans="1:17" x14ac:dyDescent="0.25">
      <c r="A13" s="801">
        <v>8</v>
      </c>
      <c r="B13" s="801" t="s">
        <v>130</v>
      </c>
      <c r="C13" s="801" t="s">
        <v>131</v>
      </c>
      <c r="D13" s="801" t="s">
        <v>16</v>
      </c>
      <c r="E13" s="801" t="s">
        <v>24</v>
      </c>
      <c r="F13" s="873" t="s">
        <v>132</v>
      </c>
      <c r="G13" s="801" t="s">
        <v>133</v>
      </c>
      <c r="H13" s="803" t="s">
        <v>35</v>
      </c>
      <c r="I13" s="631">
        <v>470513</v>
      </c>
      <c r="J13" s="629">
        <v>0.98950000000000005</v>
      </c>
      <c r="K13" s="629">
        <v>8.4599999999999995E-2</v>
      </c>
      <c r="L13" s="629">
        <v>1.01E-2</v>
      </c>
      <c r="M13" s="934">
        <v>7.1500000000000003E-17</v>
      </c>
      <c r="N13" s="632">
        <v>7.3485E-3</v>
      </c>
      <c r="O13" s="801"/>
      <c r="P13" s="801"/>
      <c r="Q13" s="801"/>
    </row>
    <row r="14" spans="1:17" x14ac:dyDescent="0.25">
      <c r="A14" s="801">
        <v>9</v>
      </c>
      <c r="B14" s="801" t="s">
        <v>134</v>
      </c>
      <c r="C14" s="801" t="s">
        <v>135</v>
      </c>
      <c r="D14" s="801" t="s">
        <v>17</v>
      </c>
      <c r="E14" s="801" t="s">
        <v>23</v>
      </c>
      <c r="F14" s="873" t="s">
        <v>136</v>
      </c>
      <c r="G14" s="801" t="s">
        <v>137</v>
      </c>
      <c r="H14" s="803" t="s">
        <v>35</v>
      </c>
      <c r="I14" s="631">
        <v>474637</v>
      </c>
      <c r="J14" s="629">
        <v>0.73680000000000001</v>
      </c>
      <c r="K14" s="629">
        <v>1.44E-2</v>
      </c>
      <c r="L14" s="629">
        <v>2.3999999999999998E-3</v>
      </c>
      <c r="M14" s="934">
        <v>9.8399999999999991E-10</v>
      </c>
      <c r="N14" s="632">
        <v>0.5513747</v>
      </c>
      <c r="O14" s="801"/>
      <c r="P14" s="801"/>
      <c r="Q14" s="801"/>
    </row>
    <row r="15" spans="1:17" x14ac:dyDescent="0.25">
      <c r="A15" s="801">
        <v>10</v>
      </c>
      <c r="B15" s="801" t="s">
        <v>151</v>
      </c>
      <c r="C15" s="801" t="s">
        <v>152</v>
      </c>
      <c r="D15" s="801" t="s">
        <v>24</v>
      </c>
      <c r="E15" s="801" t="s">
        <v>17</v>
      </c>
      <c r="F15" s="873" t="s">
        <v>153</v>
      </c>
      <c r="G15" s="801" t="s">
        <v>154</v>
      </c>
      <c r="H15" s="803" t="s">
        <v>35</v>
      </c>
      <c r="I15" s="631">
        <v>469874</v>
      </c>
      <c r="J15" s="629">
        <v>0.34539999999999998</v>
      </c>
      <c r="K15" s="629">
        <v>1.4999999999999999E-2</v>
      </c>
      <c r="L15" s="629">
        <v>2.3E-3</v>
      </c>
      <c r="M15" s="934">
        <v>3.4499999999999997E-11</v>
      </c>
      <c r="N15" s="632">
        <v>0.90847120000000003</v>
      </c>
      <c r="O15" s="801"/>
      <c r="P15" s="801"/>
      <c r="Q15" s="801"/>
    </row>
    <row r="16" spans="1:17" ht="14.25" customHeight="1" x14ac:dyDescent="0.25">
      <c r="A16" s="1225">
        <v>11</v>
      </c>
      <c r="B16" s="801" t="s">
        <v>160</v>
      </c>
      <c r="C16" s="801" t="s">
        <v>161</v>
      </c>
      <c r="D16" s="801" t="s">
        <v>16</v>
      </c>
      <c r="E16" s="801" t="s">
        <v>17</v>
      </c>
      <c r="F16" s="873" t="s">
        <v>948</v>
      </c>
      <c r="G16" s="801" t="s">
        <v>162</v>
      </c>
      <c r="H16" s="803" t="s">
        <v>35</v>
      </c>
      <c r="I16" s="631">
        <v>424163</v>
      </c>
      <c r="J16" s="629">
        <v>0.23130000000000001</v>
      </c>
      <c r="K16" s="629">
        <v>1.5800000000000002E-2</v>
      </c>
      <c r="L16" s="629">
        <v>2.5999999999999999E-3</v>
      </c>
      <c r="M16" s="934">
        <v>1.9800000000000002E-9</v>
      </c>
      <c r="N16" s="632">
        <v>0.32585209999999998</v>
      </c>
      <c r="O16" s="801"/>
      <c r="P16" s="801"/>
      <c r="Q16" s="801"/>
    </row>
    <row r="17" spans="1:14" x14ac:dyDescent="0.25">
      <c r="A17" s="1225"/>
      <c r="B17" s="801" t="s">
        <v>163</v>
      </c>
      <c r="C17" s="801" t="s">
        <v>164</v>
      </c>
      <c r="D17" s="801" t="s">
        <v>17</v>
      </c>
      <c r="E17" s="801" t="s">
        <v>23</v>
      </c>
      <c r="F17" s="873" t="s">
        <v>949</v>
      </c>
      <c r="G17" s="801" t="s">
        <v>165</v>
      </c>
      <c r="H17" s="803" t="s">
        <v>35</v>
      </c>
      <c r="I17" s="631">
        <v>453078</v>
      </c>
      <c r="J17" s="629">
        <v>0.29930000000000001</v>
      </c>
      <c r="K17" s="629">
        <v>1.77E-2</v>
      </c>
      <c r="L17" s="629">
        <v>2.3999999999999998E-3</v>
      </c>
      <c r="M17" s="934">
        <v>2.1800000000000001E-13</v>
      </c>
      <c r="N17" s="632">
        <v>4.3266300000000001E-2</v>
      </c>
    </row>
    <row r="18" spans="1:14" x14ac:dyDescent="0.25">
      <c r="A18" s="1225"/>
      <c r="B18" s="801" t="s">
        <v>166</v>
      </c>
      <c r="C18" s="801" t="s">
        <v>167</v>
      </c>
      <c r="D18" s="801" t="s">
        <v>16</v>
      </c>
      <c r="E18" s="801" t="s">
        <v>23</v>
      </c>
      <c r="F18" s="873" t="s">
        <v>950</v>
      </c>
      <c r="G18" s="801" t="s">
        <v>168</v>
      </c>
      <c r="H18" s="803" t="s">
        <v>35</v>
      </c>
      <c r="I18" s="631">
        <v>434331</v>
      </c>
      <c r="J18" s="629">
        <v>0.28410000000000002</v>
      </c>
      <c r="K18" s="629">
        <v>1.5100000000000001E-2</v>
      </c>
      <c r="L18" s="629">
        <v>2.3999999999999998E-3</v>
      </c>
      <c r="M18" s="934">
        <v>4.3200000000000001E-10</v>
      </c>
      <c r="N18" s="632">
        <v>0.14241229999999999</v>
      </c>
    </row>
    <row r="19" spans="1:14" x14ac:dyDescent="0.25">
      <c r="A19" s="1225">
        <v>12</v>
      </c>
      <c r="B19" s="801" t="s">
        <v>184</v>
      </c>
      <c r="C19" s="801" t="s">
        <v>185</v>
      </c>
      <c r="D19" s="801" t="s">
        <v>16</v>
      </c>
      <c r="E19" s="801" t="s">
        <v>24</v>
      </c>
      <c r="F19" s="873" t="s">
        <v>186</v>
      </c>
      <c r="G19" s="801" t="s">
        <v>187</v>
      </c>
      <c r="H19" s="803" t="s">
        <v>35</v>
      </c>
      <c r="I19" s="631">
        <v>430272</v>
      </c>
      <c r="J19" s="629">
        <v>0.49430000000000002</v>
      </c>
      <c r="K19" s="629">
        <v>1.38E-2</v>
      </c>
      <c r="L19" s="629">
        <v>2.3E-3</v>
      </c>
      <c r="M19" s="934">
        <v>1.6399999999999999E-9</v>
      </c>
      <c r="N19" s="632">
        <v>3.7383899999999998E-2</v>
      </c>
    </row>
    <row r="20" spans="1:14" x14ac:dyDescent="0.25">
      <c r="A20" s="1225"/>
      <c r="B20" s="801" t="s">
        <v>188</v>
      </c>
      <c r="C20" s="801" t="s">
        <v>189</v>
      </c>
      <c r="D20" s="801" t="s">
        <v>24</v>
      </c>
      <c r="E20" s="801" t="s">
        <v>16</v>
      </c>
      <c r="F20" s="873" t="s">
        <v>190</v>
      </c>
      <c r="G20" s="801" t="s">
        <v>191</v>
      </c>
      <c r="H20" s="803" t="s">
        <v>35</v>
      </c>
      <c r="I20" s="631">
        <v>476147</v>
      </c>
      <c r="J20" s="629">
        <v>0.55769999999999997</v>
      </c>
      <c r="K20" s="629">
        <v>1.15E-2</v>
      </c>
      <c r="L20" s="629">
        <v>2.0999999999999999E-3</v>
      </c>
      <c r="M20" s="934">
        <v>4.66E-8</v>
      </c>
      <c r="N20" s="632">
        <v>3.8723899999999999E-2</v>
      </c>
    </row>
    <row r="21" spans="1:14" x14ac:dyDescent="0.25">
      <c r="A21" s="801">
        <v>13</v>
      </c>
      <c r="B21" s="801" t="s">
        <v>199</v>
      </c>
      <c r="C21" s="801" t="s">
        <v>200</v>
      </c>
      <c r="D21" s="801" t="s">
        <v>23</v>
      </c>
      <c r="E21" s="801" t="s">
        <v>17</v>
      </c>
      <c r="F21" s="873" t="s">
        <v>201</v>
      </c>
      <c r="G21" s="801" t="s">
        <v>202</v>
      </c>
      <c r="H21" s="803" t="s">
        <v>35</v>
      </c>
      <c r="I21" s="631">
        <v>428768</v>
      </c>
      <c r="J21" s="629">
        <v>1.4E-3</v>
      </c>
      <c r="K21" s="629">
        <v>0.17180000000000001</v>
      </c>
      <c r="L21" s="629">
        <v>3.2199999999999999E-2</v>
      </c>
      <c r="M21" s="934">
        <v>9.6999999999999995E-8</v>
      </c>
      <c r="N21" s="632">
        <v>0.99760769999999999</v>
      </c>
    </row>
    <row r="22" spans="1:14" x14ac:dyDescent="0.25">
      <c r="A22" s="1230" t="s">
        <v>209</v>
      </c>
      <c r="B22" s="1230"/>
      <c r="C22" s="1230"/>
      <c r="D22" s="1230"/>
      <c r="E22" s="1230"/>
      <c r="F22" s="1230"/>
      <c r="G22" s="1230"/>
      <c r="H22" s="1230"/>
      <c r="I22" s="1230"/>
      <c r="J22" s="1230"/>
      <c r="K22" s="1230"/>
      <c r="L22" s="1230"/>
      <c r="M22" s="1230"/>
      <c r="N22" s="742"/>
    </row>
    <row r="23" spans="1:14" x14ac:dyDescent="0.25">
      <c r="A23" s="801">
        <v>14</v>
      </c>
      <c r="B23" s="801" t="s">
        <v>210</v>
      </c>
      <c r="C23" s="801" t="s">
        <v>211</v>
      </c>
      <c r="D23" s="801" t="s">
        <v>24</v>
      </c>
      <c r="E23" s="801" t="s">
        <v>16</v>
      </c>
      <c r="F23" s="873" t="s">
        <v>212</v>
      </c>
      <c r="G23" s="801" t="s">
        <v>213</v>
      </c>
      <c r="H23" s="803" t="s">
        <v>35</v>
      </c>
      <c r="I23" s="631">
        <v>352646</v>
      </c>
      <c r="J23" s="629">
        <v>1.2999999999999999E-3</v>
      </c>
      <c r="K23" s="629">
        <v>0.2011</v>
      </c>
      <c r="L23" s="629">
        <v>3.8199999999999998E-2</v>
      </c>
      <c r="M23" s="934">
        <v>1.4100000000000001E-7</v>
      </c>
      <c r="N23" s="632">
        <v>6.0161800000000001E-2</v>
      </c>
    </row>
    <row r="24" spans="1:14" x14ac:dyDescent="0.25">
      <c r="A24" s="801">
        <v>15</v>
      </c>
      <c r="B24" s="810" t="s">
        <v>218</v>
      </c>
      <c r="C24" s="810" t="s">
        <v>219</v>
      </c>
      <c r="D24" s="801" t="s">
        <v>16</v>
      </c>
      <c r="E24" s="810" t="s">
        <v>24</v>
      </c>
      <c r="F24" s="874" t="s">
        <v>220</v>
      </c>
      <c r="G24" s="810" t="s">
        <v>96</v>
      </c>
      <c r="H24" s="803" t="s">
        <v>35</v>
      </c>
      <c r="I24" s="634">
        <v>367079</v>
      </c>
      <c r="J24" s="735">
        <v>0.4108</v>
      </c>
      <c r="K24" s="735">
        <v>1.34E-2</v>
      </c>
      <c r="L24" s="735">
        <v>2.3999999999999998E-3</v>
      </c>
      <c r="M24" s="937">
        <v>2.1900000000000001E-8</v>
      </c>
      <c r="N24" s="632">
        <v>0.126083</v>
      </c>
    </row>
    <row r="25" spans="1:14" x14ac:dyDescent="0.25">
      <c r="A25" s="635">
        <v>16</v>
      </c>
      <c r="B25" s="635" t="s">
        <v>221</v>
      </c>
      <c r="C25" s="635" t="s">
        <v>222</v>
      </c>
      <c r="D25" s="635" t="s">
        <v>17</v>
      </c>
      <c r="E25" s="635" t="s">
        <v>24</v>
      </c>
      <c r="F25" s="786" t="s">
        <v>223</v>
      </c>
      <c r="G25" s="635" t="s">
        <v>224</v>
      </c>
      <c r="H25" s="636" t="s">
        <v>35</v>
      </c>
      <c r="I25" s="637">
        <v>253703</v>
      </c>
      <c r="J25" s="736">
        <v>0.34889999999999999</v>
      </c>
      <c r="K25" s="736">
        <v>1.7299999999999999E-2</v>
      </c>
      <c r="L25" s="736">
        <v>3.0999999999999999E-3</v>
      </c>
      <c r="M25" s="938">
        <v>2.0199999999999999E-8</v>
      </c>
      <c r="N25" s="638">
        <v>0.63485380000000002</v>
      </c>
    </row>
    <row r="26" spans="1:14" ht="32.85" customHeight="1" x14ac:dyDescent="0.25">
      <c r="A26" s="1237" t="s">
        <v>273</v>
      </c>
      <c r="B26" s="1237"/>
      <c r="C26" s="1237"/>
      <c r="D26" s="1237"/>
      <c r="E26" s="1237"/>
      <c r="F26" s="1237"/>
      <c r="G26" s="1237"/>
      <c r="H26" s="1237"/>
      <c r="I26" s="1237"/>
      <c r="J26" s="1237"/>
      <c r="K26" s="1237"/>
      <c r="L26" s="1237"/>
      <c r="M26" s="1237"/>
      <c r="N26" s="1237"/>
    </row>
    <row r="27" spans="1:14" x14ac:dyDescent="0.25">
      <c r="A27" s="1242" t="s">
        <v>13</v>
      </c>
      <c r="B27" s="1242"/>
      <c r="C27" s="1242"/>
      <c r="D27" s="1242"/>
      <c r="E27" s="1242"/>
      <c r="F27" s="1242"/>
      <c r="G27" s="1242"/>
      <c r="H27" s="1242"/>
      <c r="I27" s="1242"/>
      <c r="J27" s="1242"/>
      <c r="K27" s="1242"/>
      <c r="L27" s="1242"/>
      <c r="M27" s="1242"/>
      <c r="N27" s="1242"/>
    </row>
    <row r="28" spans="1:14" ht="17.25" customHeight="1" x14ac:dyDescent="0.25">
      <c r="A28" s="1225">
        <v>1</v>
      </c>
      <c r="B28" s="801" t="s">
        <v>14</v>
      </c>
      <c r="C28" s="801" t="s">
        <v>15</v>
      </c>
      <c r="D28" s="801" t="s">
        <v>16</v>
      </c>
      <c r="E28" s="801" t="s">
        <v>17</v>
      </c>
      <c r="F28" s="1234" t="s">
        <v>18</v>
      </c>
      <c r="G28" s="801" t="s">
        <v>19</v>
      </c>
      <c r="H28" s="1233" t="s">
        <v>20</v>
      </c>
      <c r="I28" s="631">
        <v>441461</v>
      </c>
      <c r="J28" s="629">
        <v>0.95699999999999996</v>
      </c>
      <c r="K28" s="629">
        <v>4.0599999999999997E-2</v>
      </c>
      <c r="L28" s="629">
        <v>5.3E-3</v>
      </c>
      <c r="M28" s="934">
        <v>2.2099999999999999E-14</v>
      </c>
      <c r="N28" s="632">
        <v>0.66914249999999997</v>
      </c>
    </row>
    <row r="29" spans="1:14" ht="17.25" customHeight="1" x14ac:dyDescent="0.25">
      <c r="A29" s="1225"/>
      <c r="B29" s="801" t="s">
        <v>21</v>
      </c>
      <c r="C29" s="801" t="s">
        <v>22</v>
      </c>
      <c r="D29" s="801" t="s">
        <v>23</v>
      </c>
      <c r="E29" s="801" t="s">
        <v>24</v>
      </c>
      <c r="F29" s="1234"/>
      <c r="G29" s="801" t="s">
        <v>25</v>
      </c>
      <c r="H29" s="1233"/>
      <c r="I29" s="631">
        <v>472259</v>
      </c>
      <c r="J29" s="629">
        <v>0.17399999999999999</v>
      </c>
      <c r="K29" s="629">
        <v>1.77E-2</v>
      </c>
      <c r="L29" s="629">
        <v>2.8E-3</v>
      </c>
      <c r="M29" s="934">
        <v>1.3799999999999999E-10</v>
      </c>
      <c r="N29" s="632">
        <v>0.59609250000000003</v>
      </c>
    </row>
    <row r="30" spans="1:14" x14ac:dyDescent="0.25">
      <c r="A30" s="801">
        <v>2</v>
      </c>
      <c r="B30" s="801" t="s">
        <v>26</v>
      </c>
      <c r="C30" s="801" t="s">
        <v>27</v>
      </c>
      <c r="D30" s="801" t="s">
        <v>17</v>
      </c>
      <c r="E30" s="801" t="s">
        <v>23</v>
      </c>
      <c r="F30" s="873" t="s">
        <v>28</v>
      </c>
      <c r="G30" s="801" t="s">
        <v>29</v>
      </c>
      <c r="H30" s="803" t="s">
        <v>30</v>
      </c>
      <c r="I30" s="631">
        <v>476440</v>
      </c>
      <c r="J30" s="629">
        <v>0.97619999999999996</v>
      </c>
      <c r="K30" s="629">
        <v>3.73E-2</v>
      </c>
      <c r="L30" s="629">
        <v>6.7999999999999996E-3</v>
      </c>
      <c r="M30" s="934">
        <v>3.7499999999999998E-8</v>
      </c>
      <c r="N30" s="842">
        <v>7.9100000000000003E-7</v>
      </c>
    </row>
    <row r="31" spans="1:14" ht="45" x14ac:dyDescent="0.25">
      <c r="A31" s="801">
        <v>3</v>
      </c>
      <c r="B31" s="801" t="s">
        <v>36</v>
      </c>
      <c r="C31" s="801" t="s">
        <v>37</v>
      </c>
      <c r="D31" s="801" t="s">
        <v>23</v>
      </c>
      <c r="E31" s="801" t="s">
        <v>17</v>
      </c>
      <c r="F31" s="873" t="s">
        <v>38</v>
      </c>
      <c r="G31" s="801" t="s">
        <v>39</v>
      </c>
      <c r="H31" s="803" t="s">
        <v>40</v>
      </c>
      <c r="I31" s="631">
        <v>389883</v>
      </c>
      <c r="J31" s="629">
        <v>0.87909999999999999</v>
      </c>
      <c r="K31" s="629">
        <v>2.6200000000000001E-2</v>
      </c>
      <c r="L31" s="629">
        <v>3.5000000000000001E-3</v>
      </c>
      <c r="M31" s="934">
        <v>1.59E-13</v>
      </c>
      <c r="N31" s="842">
        <v>3.010203E-30</v>
      </c>
    </row>
    <row r="32" spans="1:14" x14ac:dyDescent="0.25">
      <c r="A32" s="801">
        <v>4</v>
      </c>
      <c r="B32" s="801" t="s">
        <v>41</v>
      </c>
      <c r="C32" s="801" t="s">
        <v>42</v>
      </c>
      <c r="D32" s="801" t="s">
        <v>23</v>
      </c>
      <c r="E32" s="801" t="s">
        <v>17</v>
      </c>
      <c r="F32" s="873" t="s">
        <v>43</v>
      </c>
      <c r="G32" s="801" t="s">
        <v>44</v>
      </c>
      <c r="H32" s="803" t="s">
        <v>45</v>
      </c>
      <c r="I32" s="631">
        <v>452638</v>
      </c>
      <c r="J32" s="629">
        <v>0.69699999999999995</v>
      </c>
      <c r="K32" s="629">
        <v>1.6400000000000001E-2</v>
      </c>
      <c r="L32" s="629">
        <v>2.3E-3</v>
      </c>
      <c r="M32" s="934">
        <v>3.0099999999999999E-12</v>
      </c>
      <c r="N32" s="632">
        <v>0.62948689999999996</v>
      </c>
    </row>
    <row r="33" spans="1:14" x14ac:dyDescent="0.25">
      <c r="A33" s="1225">
        <v>5</v>
      </c>
      <c r="B33" s="801" t="s">
        <v>50</v>
      </c>
      <c r="C33" s="801" t="s">
        <v>51</v>
      </c>
      <c r="D33" s="801" t="s">
        <v>23</v>
      </c>
      <c r="E33" s="801" t="s">
        <v>17</v>
      </c>
      <c r="F33" s="873" t="s">
        <v>915</v>
      </c>
      <c r="G33" s="801" t="s">
        <v>52</v>
      </c>
      <c r="H33" s="1233" t="s">
        <v>53</v>
      </c>
      <c r="I33" s="631">
        <v>470111</v>
      </c>
      <c r="J33" s="629">
        <v>0.44540000000000002</v>
      </c>
      <c r="K33" s="629">
        <v>1.8700000000000001E-2</v>
      </c>
      <c r="L33" s="629">
        <v>2.2000000000000001E-3</v>
      </c>
      <c r="M33" s="934">
        <v>5.4700000000000002E-18</v>
      </c>
      <c r="N33" s="632">
        <v>6.73232E-2</v>
      </c>
    </row>
    <row r="34" spans="1:14" x14ac:dyDescent="0.25">
      <c r="A34" s="1225"/>
      <c r="B34" s="801" t="s">
        <v>54</v>
      </c>
      <c r="C34" s="801" t="s">
        <v>55</v>
      </c>
      <c r="D34" s="801" t="s">
        <v>17</v>
      </c>
      <c r="E34" s="801" t="s">
        <v>16</v>
      </c>
      <c r="F34" s="873" t="s">
        <v>916</v>
      </c>
      <c r="G34" s="801" t="s">
        <v>56</v>
      </c>
      <c r="H34" s="1233"/>
      <c r="I34" s="631">
        <v>452150</v>
      </c>
      <c r="J34" s="629">
        <v>0.54069999999999996</v>
      </c>
      <c r="K34" s="629">
        <v>1.52E-2</v>
      </c>
      <c r="L34" s="629">
        <v>2.2000000000000001E-3</v>
      </c>
      <c r="M34" s="934">
        <v>1.56E-12</v>
      </c>
      <c r="N34" s="632">
        <v>0.40022659999999999</v>
      </c>
    </row>
    <row r="35" spans="1:14" ht="14.25" customHeight="1" x14ac:dyDescent="0.25">
      <c r="A35" s="1225">
        <v>6</v>
      </c>
      <c r="B35" s="801" t="s">
        <v>57</v>
      </c>
      <c r="C35" s="801" t="s">
        <v>58</v>
      </c>
      <c r="D35" s="801" t="s">
        <v>17</v>
      </c>
      <c r="E35" s="801" t="s">
        <v>23</v>
      </c>
      <c r="F35" s="873" t="s">
        <v>917</v>
      </c>
      <c r="G35" s="801" t="s">
        <v>59</v>
      </c>
      <c r="H35" s="1233" t="s">
        <v>60</v>
      </c>
      <c r="I35" s="631">
        <v>476382</v>
      </c>
      <c r="J35" s="629">
        <v>0.93610000000000004</v>
      </c>
      <c r="K35" s="629">
        <v>3.5700000000000003E-2</v>
      </c>
      <c r="L35" s="629">
        <v>4.3E-3</v>
      </c>
      <c r="M35" s="934">
        <v>8.3000000000000005E-17</v>
      </c>
      <c r="N35" s="842">
        <v>9.31E-5</v>
      </c>
    </row>
    <row r="36" spans="1:14" x14ac:dyDescent="0.25">
      <c r="A36" s="1225"/>
      <c r="B36" s="801" t="s">
        <v>61</v>
      </c>
      <c r="C36" s="801" t="s">
        <v>62</v>
      </c>
      <c r="D36" s="801" t="s">
        <v>16</v>
      </c>
      <c r="E36" s="801" t="s">
        <v>17</v>
      </c>
      <c r="F36" s="873" t="s">
        <v>216</v>
      </c>
      <c r="G36" s="801" t="s">
        <v>63</v>
      </c>
      <c r="H36" s="1233"/>
      <c r="I36" s="631">
        <v>476338</v>
      </c>
      <c r="J36" s="629">
        <v>0.73280000000000001</v>
      </c>
      <c r="K36" s="629">
        <v>1.5599999999999999E-2</v>
      </c>
      <c r="L36" s="629">
        <v>2.3999999999999998E-3</v>
      </c>
      <c r="M36" s="934">
        <v>9.1599999999999999E-11</v>
      </c>
      <c r="N36" s="842">
        <v>1.5699999999999999E-5</v>
      </c>
    </row>
    <row r="37" spans="1:14" ht="14.85" customHeight="1" x14ac:dyDescent="0.25">
      <c r="A37" s="1225">
        <v>7</v>
      </c>
      <c r="B37" s="801" t="s">
        <v>64</v>
      </c>
      <c r="C37" s="801" t="s">
        <v>65</v>
      </c>
      <c r="D37" s="801" t="s">
        <v>24</v>
      </c>
      <c r="E37" s="801" t="s">
        <v>17</v>
      </c>
      <c r="F37" s="873" t="s">
        <v>918</v>
      </c>
      <c r="G37" s="801" t="s">
        <v>66</v>
      </c>
      <c r="H37" s="1233" t="s">
        <v>67</v>
      </c>
      <c r="I37" s="631">
        <v>446080</v>
      </c>
      <c r="J37" s="629">
        <v>0.83809999999999996</v>
      </c>
      <c r="K37" s="629">
        <v>2.06E-2</v>
      </c>
      <c r="L37" s="629">
        <v>2.8999999999999998E-3</v>
      </c>
      <c r="M37" s="934">
        <v>1.52E-12</v>
      </c>
      <c r="N37" s="842">
        <v>4.0799999999999999E-6</v>
      </c>
    </row>
    <row r="38" spans="1:14" x14ac:dyDescent="0.25">
      <c r="A38" s="1225"/>
      <c r="B38" s="801" t="s">
        <v>68</v>
      </c>
      <c r="C38" s="801" t="s">
        <v>69</v>
      </c>
      <c r="D38" s="801" t="s">
        <v>17</v>
      </c>
      <c r="E38" s="801" t="s">
        <v>23</v>
      </c>
      <c r="F38" s="873" t="s">
        <v>919</v>
      </c>
      <c r="G38" s="801" t="s">
        <v>70</v>
      </c>
      <c r="H38" s="1233"/>
      <c r="I38" s="631">
        <v>476383</v>
      </c>
      <c r="J38" s="629">
        <v>0.81530000000000002</v>
      </c>
      <c r="K38" s="629">
        <v>1.5900000000000001E-2</v>
      </c>
      <c r="L38" s="629">
        <v>2.7000000000000001E-3</v>
      </c>
      <c r="M38" s="934">
        <v>5.0000000000000001E-9</v>
      </c>
      <c r="N38" s="842">
        <v>9.5600000000000006E-5</v>
      </c>
    </row>
    <row r="39" spans="1:14" x14ac:dyDescent="0.25">
      <c r="A39" s="801">
        <v>8</v>
      </c>
      <c r="B39" s="801" t="s">
        <v>75</v>
      </c>
      <c r="C39" s="801" t="s">
        <v>76</v>
      </c>
      <c r="D39" s="801" t="s">
        <v>16</v>
      </c>
      <c r="E39" s="801" t="s">
        <v>24</v>
      </c>
      <c r="F39" s="873" t="s">
        <v>77</v>
      </c>
      <c r="G39" s="801" t="s">
        <v>78</v>
      </c>
      <c r="H39" s="803" t="s">
        <v>79</v>
      </c>
      <c r="I39" s="631">
        <v>455246</v>
      </c>
      <c r="J39" s="629">
        <v>0.23599999999999999</v>
      </c>
      <c r="K39" s="629">
        <v>2.2599999999999999E-2</v>
      </c>
      <c r="L39" s="629">
        <v>2.5000000000000001E-3</v>
      </c>
      <c r="M39" s="934">
        <v>1.69E-19</v>
      </c>
      <c r="N39" s="632">
        <v>0.20593120000000001</v>
      </c>
    </row>
    <row r="40" spans="1:14" ht="17.25" x14ac:dyDescent="0.25">
      <c r="A40" s="801">
        <v>9</v>
      </c>
      <c r="B40" s="801" t="s">
        <v>80</v>
      </c>
      <c r="C40" s="907" t="s">
        <v>5291</v>
      </c>
      <c r="D40" s="801" t="s">
        <v>24</v>
      </c>
      <c r="E40" s="801" t="s">
        <v>16</v>
      </c>
      <c r="F40" s="873" t="s">
        <v>82</v>
      </c>
      <c r="G40" s="801" t="s">
        <v>83</v>
      </c>
      <c r="H40" s="803" t="s">
        <v>84</v>
      </c>
      <c r="I40" s="631">
        <v>451044</v>
      </c>
      <c r="J40" s="629">
        <v>0.56489999999999996</v>
      </c>
      <c r="K40" s="629">
        <v>1.7100000000000001E-2</v>
      </c>
      <c r="L40" s="629">
        <v>2.2000000000000001E-3</v>
      </c>
      <c r="M40" s="934">
        <v>3.9000000000000003E-15</v>
      </c>
      <c r="N40" s="632">
        <v>0.14740420000000001</v>
      </c>
    </row>
    <row r="41" spans="1:14" x14ac:dyDescent="0.25">
      <c r="A41" s="801">
        <v>10</v>
      </c>
      <c r="B41" s="801" t="s">
        <v>89</v>
      </c>
      <c r="C41" s="801" t="s">
        <v>90</v>
      </c>
      <c r="D41" s="801" t="s">
        <v>16</v>
      </c>
      <c r="E41" s="801" t="s">
        <v>23</v>
      </c>
      <c r="F41" s="873" t="s">
        <v>91</v>
      </c>
      <c r="G41" s="801" t="s">
        <v>92</v>
      </c>
      <c r="H41" s="803" t="s">
        <v>93</v>
      </c>
      <c r="I41" s="631">
        <v>309684</v>
      </c>
      <c r="J41" s="629">
        <v>0.84709999999999996</v>
      </c>
      <c r="K41" s="629">
        <v>2.07E-2</v>
      </c>
      <c r="L41" s="629">
        <v>3.5999999999999999E-3</v>
      </c>
      <c r="M41" s="934">
        <v>1.2E-8</v>
      </c>
      <c r="N41" s="632">
        <v>0.27479439999999999</v>
      </c>
    </row>
    <row r="42" spans="1:14" ht="15.75" customHeight="1" x14ac:dyDescent="0.25">
      <c r="A42" s="1225">
        <v>11</v>
      </c>
      <c r="B42" s="801" t="s">
        <v>94</v>
      </c>
      <c r="C42" s="801" t="s">
        <v>95</v>
      </c>
      <c r="D42" s="801" t="s">
        <v>16</v>
      </c>
      <c r="E42" s="801" t="s">
        <v>24</v>
      </c>
      <c r="F42" s="873" t="s">
        <v>923</v>
      </c>
      <c r="G42" s="801" t="s">
        <v>96</v>
      </c>
      <c r="H42" s="1233" t="s">
        <v>97</v>
      </c>
      <c r="I42" s="631">
        <v>476358</v>
      </c>
      <c r="J42" s="629">
        <v>0.54290000000000005</v>
      </c>
      <c r="K42" s="629">
        <v>3.0499999999999999E-2</v>
      </c>
      <c r="L42" s="629">
        <v>2.0999999999999999E-3</v>
      </c>
      <c r="M42" s="934">
        <v>2.5799999999999998E-47</v>
      </c>
      <c r="N42" s="842">
        <v>7.7400000000000002E-9</v>
      </c>
    </row>
    <row r="43" spans="1:14" ht="16.5" customHeight="1" x14ac:dyDescent="0.25">
      <c r="A43" s="1225"/>
      <c r="B43" s="801" t="s">
        <v>98</v>
      </c>
      <c r="C43" s="907" t="s">
        <v>5292</v>
      </c>
      <c r="D43" s="801" t="s">
        <v>16</v>
      </c>
      <c r="E43" s="801" t="s">
        <v>24</v>
      </c>
      <c r="F43" s="873" t="s">
        <v>924</v>
      </c>
      <c r="G43" s="801" t="s">
        <v>100</v>
      </c>
      <c r="H43" s="1233"/>
      <c r="I43" s="631">
        <v>391469</v>
      </c>
      <c r="J43" s="629">
        <v>9.7000000000000003E-3</v>
      </c>
      <c r="K43" s="629">
        <v>0.1033</v>
      </c>
      <c r="L43" s="629">
        <v>1.1599999999999999E-2</v>
      </c>
      <c r="M43" s="934">
        <v>6.7700000000000004E-19</v>
      </c>
      <c r="N43" s="842">
        <v>1.9819999999999999E-4</v>
      </c>
    </row>
    <row r="44" spans="1:14" s="782" customFormat="1" x14ac:dyDescent="0.25">
      <c r="A44" s="1225">
        <v>12</v>
      </c>
      <c r="B44" s="801" t="s">
        <v>105</v>
      </c>
      <c r="C44" s="801" t="s">
        <v>106</v>
      </c>
      <c r="D44" s="801" t="s">
        <v>24</v>
      </c>
      <c r="E44" s="801" t="s">
        <v>16</v>
      </c>
      <c r="F44" s="1234" t="s">
        <v>107</v>
      </c>
      <c r="G44" s="801" t="s">
        <v>108</v>
      </c>
      <c r="H44" s="1235" t="s">
        <v>109</v>
      </c>
      <c r="I44" s="631">
        <v>451158</v>
      </c>
      <c r="J44" s="629">
        <v>0.87970000000000004</v>
      </c>
      <c r="K44" s="629">
        <v>0.02</v>
      </c>
      <c r="L44" s="629">
        <v>3.3E-3</v>
      </c>
      <c r="M44" s="934">
        <v>1.7800000000000001E-9</v>
      </c>
      <c r="N44" s="632">
        <v>0.14534749999999999</v>
      </c>
    </row>
    <row r="45" spans="1:14" s="782" customFormat="1" x14ac:dyDescent="0.25">
      <c r="A45" s="1225"/>
      <c r="B45" s="801" t="s">
        <v>110</v>
      </c>
      <c r="C45" s="801" t="s">
        <v>111</v>
      </c>
      <c r="D45" s="801" t="s">
        <v>17</v>
      </c>
      <c r="E45" s="801" t="s">
        <v>24</v>
      </c>
      <c r="F45" s="1234"/>
      <c r="G45" s="801" t="s">
        <v>112</v>
      </c>
      <c r="H45" s="1233"/>
      <c r="I45" s="631">
        <v>454738</v>
      </c>
      <c r="J45" s="629">
        <v>0.88119999999999998</v>
      </c>
      <c r="K45" s="629">
        <v>2.1299999999999999E-2</v>
      </c>
      <c r="L45" s="629">
        <v>3.3999999999999998E-3</v>
      </c>
      <c r="M45" s="934">
        <v>1.9799999999999999E-10</v>
      </c>
      <c r="N45" s="632">
        <v>5.7995199999999997E-2</v>
      </c>
    </row>
    <row r="46" spans="1:14" s="782" customFormat="1" x14ac:dyDescent="0.25">
      <c r="A46" s="801">
        <v>13</v>
      </c>
      <c r="B46" s="801" t="s">
        <v>113</v>
      </c>
      <c r="C46" s="801" t="s">
        <v>114</v>
      </c>
      <c r="D46" s="801" t="s">
        <v>23</v>
      </c>
      <c r="E46" s="801" t="s">
        <v>24</v>
      </c>
      <c r="F46" s="873" t="s">
        <v>115</v>
      </c>
      <c r="G46" s="801" t="s">
        <v>116</v>
      </c>
      <c r="H46" s="808" t="s">
        <v>117</v>
      </c>
      <c r="I46" s="631">
        <v>476475</v>
      </c>
      <c r="J46" s="629">
        <v>0.17299999999999999</v>
      </c>
      <c r="K46" s="629">
        <v>1.8200000000000001E-2</v>
      </c>
      <c r="L46" s="629">
        <v>2.7000000000000001E-3</v>
      </c>
      <c r="M46" s="934">
        <v>2.5000000000000001E-11</v>
      </c>
      <c r="N46" s="632">
        <v>0.59136100000000003</v>
      </c>
    </row>
    <row r="47" spans="1:14" x14ac:dyDescent="0.25">
      <c r="A47" s="801">
        <v>14</v>
      </c>
      <c r="B47" s="801" t="s">
        <v>121</v>
      </c>
      <c r="C47" s="801" t="s">
        <v>122</v>
      </c>
      <c r="D47" s="801" t="s">
        <v>23</v>
      </c>
      <c r="E47" s="801" t="s">
        <v>17</v>
      </c>
      <c r="F47" s="873" t="s">
        <v>123</v>
      </c>
      <c r="G47" s="801" t="s">
        <v>124</v>
      </c>
      <c r="H47" s="803" t="s">
        <v>125</v>
      </c>
      <c r="I47" s="631">
        <v>476457</v>
      </c>
      <c r="J47" s="629">
        <v>6.08E-2</v>
      </c>
      <c r="K47" s="629">
        <v>3.39E-2</v>
      </c>
      <c r="L47" s="629">
        <v>4.4000000000000003E-3</v>
      </c>
      <c r="M47" s="934">
        <v>9.1399999999999994E-15</v>
      </c>
      <c r="N47" s="842">
        <v>1.27E-4</v>
      </c>
    </row>
    <row r="48" spans="1:14" ht="16.350000000000001" customHeight="1" x14ac:dyDescent="0.25">
      <c r="A48" s="1225">
        <v>15</v>
      </c>
      <c r="B48" s="801" t="s">
        <v>138</v>
      </c>
      <c r="C48" s="801" t="s">
        <v>139</v>
      </c>
      <c r="D48" s="801" t="s">
        <v>24</v>
      </c>
      <c r="E48" s="801" t="s">
        <v>23</v>
      </c>
      <c r="F48" s="873" t="s">
        <v>5259</v>
      </c>
      <c r="G48" s="801" t="s">
        <v>140</v>
      </c>
      <c r="H48" s="1233" t="s">
        <v>141</v>
      </c>
      <c r="I48" s="631">
        <v>466498</v>
      </c>
      <c r="J48" s="629">
        <v>0.98699999999999999</v>
      </c>
      <c r="K48" s="629">
        <v>5.2999999999999999E-2</v>
      </c>
      <c r="L48" s="629">
        <v>9.2999999999999992E-3</v>
      </c>
      <c r="M48" s="934">
        <v>1.3399999999999999E-8</v>
      </c>
      <c r="N48" s="632">
        <v>0.35055969999999997</v>
      </c>
    </row>
    <row r="49" spans="1:18" ht="14.25" customHeight="1" x14ac:dyDescent="0.25">
      <c r="A49" s="1225"/>
      <c r="B49" s="801" t="s">
        <v>142</v>
      </c>
      <c r="C49" s="801" t="s">
        <v>143</v>
      </c>
      <c r="D49" s="801" t="s">
        <v>23</v>
      </c>
      <c r="E49" s="801" t="s">
        <v>17</v>
      </c>
      <c r="F49" s="1234" t="s">
        <v>940</v>
      </c>
      <c r="G49" s="801" t="s">
        <v>144</v>
      </c>
      <c r="H49" s="1233"/>
      <c r="I49" s="631">
        <v>476360</v>
      </c>
      <c r="J49" s="629">
        <v>0.37319999999999998</v>
      </c>
      <c r="K49" s="629">
        <v>1.7899999999999999E-2</v>
      </c>
      <c r="L49" s="629">
        <v>2.2000000000000001E-3</v>
      </c>
      <c r="M49" s="934">
        <v>2.14E-16</v>
      </c>
      <c r="N49" s="842">
        <v>2.6799999999999998E-8</v>
      </c>
    </row>
    <row r="50" spans="1:18" x14ac:dyDescent="0.25">
      <c r="A50" s="1225"/>
      <c r="B50" s="801" t="s">
        <v>145</v>
      </c>
      <c r="C50" s="801" t="s">
        <v>146</v>
      </c>
      <c r="D50" s="801" t="s">
        <v>17</v>
      </c>
      <c r="E50" s="801" t="s">
        <v>23</v>
      </c>
      <c r="F50" s="1234"/>
      <c r="G50" s="801" t="s">
        <v>147</v>
      </c>
      <c r="H50" s="1233"/>
      <c r="I50" s="631">
        <v>476395</v>
      </c>
      <c r="J50" s="629">
        <v>0.88929999999999998</v>
      </c>
      <c r="K50" s="629">
        <v>2.52E-2</v>
      </c>
      <c r="L50" s="629">
        <v>3.3E-3</v>
      </c>
      <c r="M50" s="934">
        <v>2.8800000000000001E-14</v>
      </c>
      <c r="N50" s="842">
        <v>3.1300000000000002E-8</v>
      </c>
    </row>
    <row r="51" spans="1:18" x14ac:dyDescent="0.25">
      <c r="A51" s="1225"/>
      <c r="B51" s="801" t="s">
        <v>148</v>
      </c>
      <c r="C51" s="801" t="s">
        <v>149</v>
      </c>
      <c r="D51" s="801" t="s">
        <v>23</v>
      </c>
      <c r="E51" s="801" t="s">
        <v>16</v>
      </c>
      <c r="F51" s="873" t="s">
        <v>941</v>
      </c>
      <c r="G51" s="801" t="s">
        <v>150</v>
      </c>
      <c r="H51" s="1233"/>
      <c r="I51" s="631">
        <v>467649</v>
      </c>
      <c r="J51" s="629">
        <v>0.6946</v>
      </c>
      <c r="K51" s="629">
        <v>2.87E-2</v>
      </c>
      <c r="L51" s="629">
        <v>2.3E-3</v>
      </c>
      <c r="M51" s="934">
        <v>7.2699999999999999E-37</v>
      </c>
      <c r="N51" s="842">
        <v>5.4899999999999999E-11</v>
      </c>
    </row>
    <row r="52" spans="1:18" x14ac:dyDescent="0.25">
      <c r="A52" s="801">
        <v>16</v>
      </c>
      <c r="B52" s="801" t="s">
        <v>155</v>
      </c>
      <c r="C52" s="801" t="s">
        <v>156</v>
      </c>
      <c r="D52" s="801" t="s">
        <v>24</v>
      </c>
      <c r="E52" s="801" t="s">
        <v>23</v>
      </c>
      <c r="F52" s="873" t="s">
        <v>157</v>
      </c>
      <c r="G52" s="801" t="s">
        <v>158</v>
      </c>
      <c r="H52" s="803" t="s">
        <v>159</v>
      </c>
      <c r="I52" s="631">
        <v>476274</v>
      </c>
      <c r="J52" s="629">
        <v>9.5799999999999996E-2</v>
      </c>
      <c r="K52" s="629">
        <v>2.2800000000000001E-2</v>
      </c>
      <c r="L52" s="629">
        <v>3.5000000000000001E-3</v>
      </c>
      <c r="M52" s="934">
        <v>8.8299999999999995E-11</v>
      </c>
      <c r="N52" s="632">
        <v>2.7159900000000001E-2</v>
      </c>
    </row>
    <row r="53" spans="1:18" s="782" customFormat="1" x14ac:dyDescent="0.25">
      <c r="A53" s="1225">
        <v>17</v>
      </c>
      <c r="B53" s="801" t="s">
        <v>169</v>
      </c>
      <c r="C53" s="801" t="s">
        <v>170</v>
      </c>
      <c r="D53" s="801" t="s">
        <v>24</v>
      </c>
      <c r="E53" s="801" t="s">
        <v>17</v>
      </c>
      <c r="F53" s="1234" t="s">
        <v>171</v>
      </c>
      <c r="G53" s="801" t="s">
        <v>172</v>
      </c>
      <c r="H53" s="1235" t="s">
        <v>173</v>
      </c>
      <c r="I53" s="631">
        <v>469474</v>
      </c>
      <c r="J53" s="629">
        <v>0.93830000000000002</v>
      </c>
      <c r="K53" s="629">
        <v>3.4099999999999998E-2</v>
      </c>
      <c r="L53" s="629">
        <v>4.7000000000000002E-3</v>
      </c>
      <c r="M53" s="934">
        <v>3.8299999999999998E-13</v>
      </c>
      <c r="N53" s="632">
        <v>0.58924319999999997</v>
      </c>
    </row>
    <row r="54" spans="1:18" s="782" customFormat="1" x14ac:dyDescent="0.25">
      <c r="A54" s="1225"/>
      <c r="B54" s="801" t="s">
        <v>174</v>
      </c>
      <c r="C54" s="801" t="s">
        <v>175</v>
      </c>
      <c r="D54" s="801" t="s">
        <v>24</v>
      </c>
      <c r="E54" s="801" t="s">
        <v>16</v>
      </c>
      <c r="F54" s="1234"/>
      <c r="G54" s="801" t="s">
        <v>176</v>
      </c>
      <c r="H54" s="1233"/>
      <c r="I54" s="631">
        <v>474035</v>
      </c>
      <c r="J54" s="629">
        <v>0.93869999999999998</v>
      </c>
      <c r="K54" s="629">
        <v>3.39E-2</v>
      </c>
      <c r="L54" s="629">
        <v>4.7000000000000002E-3</v>
      </c>
      <c r="M54" s="934">
        <v>5.4999999999999998E-13</v>
      </c>
      <c r="N54" s="632">
        <v>0.39962239999999999</v>
      </c>
    </row>
    <row r="55" spans="1:18" ht="14.25" customHeight="1" x14ac:dyDescent="0.25">
      <c r="A55" s="1225">
        <v>18</v>
      </c>
      <c r="B55" s="801" t="s">
        <v>177</v>
      </c>
      <c r="C55" s="801" t="s">
        <v>178</v>
      </c>
      <c r="D55" s="801" t="s">
        <v>16</v>
      </c>
      <c r="E55" s="801" t="s">
        <v>24</v>
      </c>
      <c r="F55" s="873" t="s">
        <v>5260</v>
      </c>
      <c r="G55" s="801" t="s">
        <v>179</v>
      </c>
      <c r="H55" s="1233" t="s">
        <v>180</v>
      </c>
      <c r="I55" s="631">
        <v>476389</v>
      </c>
      <c r="J55" s="629">
        <v>0.2571</v>
      </c>
      <c r="K55" s="629">
        <v>1.52E-2</v>
      </c>
      <c r="L55" s="629">
        <v>2.3999999999999998E-3</v>
      </c>
      <c r="M55" s="934">
        <v>3.4599999999999999E-10</v>
      </c>
      <c r="N55" s="632">
        <v>3.1164999999999999E-3</v>
      </c>
    </row>
    <row r="56" spans="1:18" x14ac:dyDescent="0.25">
      <c r="A56" s="1225"/>
      <c r="B56" s="801" t="s">
        <v>181</v>
      </c>
      <c r="C56" s="801" t="s">
        <v>182</v>
      </c>
      <c r="D56" s="801" t="s">
        <v>24</v>
      </c>
      <c r="E56" s="801" t="s">
        <v>16</v>
      </c>
      <c r="F56" s="873" t="s">
        <v>958</v>
      </c>
      <c r="G56" s="801" t="s">
        <v>183</v>
      </c>
      <c r="H56" s="1233"/>
      <c r="I56" s="631">
        <v>476388</v>
      </c>
      <c r="J56" s="629">
        <v>0.2707</v>
      </c>
      <c r="K56" s="629">
        <v>1.52E-2</v>
      </c>
      <c r="L56" s="629">
        <v>2.3999999999999998E-3</v>
      </c>
      <c r="M56" s="934">
        <v>1.16E-10</v>
      </c>
      <c r="N56" s="632">
        <v>2.4946999999999999E-3</v>
      </c>
    </row>
    <row r="57" spans="1:18" ht="14.25" customHeight="1" x14ac:dyDescent="0.25">
      <c r="A57" s="1225">
        <v>19</v>
      </c>
      <c r="B57" s="801" t="s">
        <v>192</v>
      </c>
      <c r="C57" s="801" t="s">
        <v>193</v>
      </c>
      <c r="D57" s="801" t="s">
        <v>23</v>
      </c>
      <c r="E57" s="801" t="s">
        <v>17</v>
      </c>
      <c r="F57" s="873" t="s">
        <v>265</v>
      </c>
      <c r="G57" s="801" t="s">
        <v>194</v>
      </c>
      <c r="H57" s="1233" t="s">
        <v>195</v>
      </c>
      <c r="I57" s="631">
        <v>451064</v>
      </c>
      <c r="J57" s="629">
        <v>0.60150000000000003</v>
      </c>
      <c r="K57" s="629">
        <v>1.84E-2</v>
      </c>
      <c r="L57" s="629">
        <v>2.2000000000000001E-3</v>
      </c>
      <c r="M57" s="934">
        <v>2.46E-16</v>
      </c>
      <c r="N57" s="632">
        <v>1.5372000000000001E-3</v>
      </c>
      <c r="R57" s="841" t="s">
        <v>1</v>
      </c>
    </row>
    <row r="58" spans="1:18" x14ac:dyDescent="0.25">
      <c r="A58" s="1225"/>
      <c r="B58" s="801" t="s">
        <v>196</v>
      </c>
      <c r="C58" s="801" t="s">
        <v>197</v>
      </c>
      <c r="D58" s="801" t="s">
        <v>16</v>
      </c>
      <c r="E58" s="801" t="s">
        <v>17</v>
      </c>
      <c r="F58" s="873" t="s">
        <v>959</v>
      </c>
      <c r="G58" s="801" t="s">
        <v>198</v>
      </c>
      <c r="H58" s="1233"/>
      <c r="I58" s="631">
        <v>345805</v>
      </c>
      <c r="J58" s="629">
        <v>0.64359999999999995</v>
      </c>
      <c r="K58" s="629">
        <v>1.7299999999999999E-2</v>
      </c>
      <c r="L58" s="629">
        <v>2.5999999999999999E-3</v>
      </c>
      <c r="M58" s="934">
        <v>1.8199999999999999E-11</v>
      </c>
      <c r="N58" s="632">
        <v>3.1757999999999999E-3</v>
      </c>
    </row>
    <row r="59" spans="1:18" x14ac:dyDescent="0.25">
      <c r="A59" s="1230" t="s">
        <v>203</v>
      </c>
      <c r="B59" s="1230"/>
      <c r="C59" s="1230"/>
      <c r="D59" s="1230"/>
      <c r="E59" s="1230"/>
      <c r="F59" s="1230"/>
      <c r="G59" s="1230"/>
      <c r="H59" s="1230"/>
      <c r="I59" s="1230"/>
      <c r="J59" s="1230"/>
      <c r="K59" s="1230"/>
      <c r="L59" s="1230"/>
      <c r="M59" s="1230"/>
      <c r="N59" s="742"/>
    </row>
    <row r="60" spans="1:18" x14ac:dyDescent="0.25">
      <c r="A60" s="801">
        <v>20</v>
      </c>
      <c r="B60" s="801" t="s">
        <v>204</v>
      </c>
      <c r="C60" s="801" t="s">
        <v>205</v>
      </c>
      <c r="D60" s="801" t="s">
        <v>17</v>
      </c>
      <c r="E60" s="801" t="s">
        <v>23</v>
      </c>
      <c r="F60" s="873" t="s">
        <v>206</v>
      </c>
      <c r="G60" s="801" t="s">
        <v>207</v>
      </c>
      <c r="H60" s="803" t="s">
        <v>208</v>
      </c>
      <c r="I60" s="631">
        <v>476546</v>
      </c>
      <c r="J60" s="629">
        <v>0.56859999999999999</v>
      </c>
      <c r="K60" s="629">
        <v>2.5000000000000001E-2</v>
      </c>
      <c r="L60" s="629">
        <v>3.8E-3</v>
      </c>
      <c r="M60" s="934">
        <v>4.0699999999999999E-11</v>
      </c>
      <c r="N60" s="632">
        <v>0.81918690000000005</v>
      </c>
    </row>
    <row r="61" spans="1:18" x14ac:dyDescent="0.25">
      <c r="A61" s="1230" t="s">
        <v>209</v>
      </c>
      <c r="B61" s="1230"/>
      <c r="C61" s="1230"/>
      <c r="D61" s="1230"/>
      <c r="E61" s="1230"/>
      <c r="F61" s="1230"/>
      <c r="G61" s="1230"/>
      <c r="H61" s="1230"/>
      <c r="I61" s="1230"/>
      <c r="J61" s="1230"/>
      <c r="K61" s="1230"/>
      <c r="L61" s="1230"/>
      <c r="M61" s="1230"/>
      <c r="N61" s="742"/>
    </row>
    <row r="62" spans="1:18" x14ac:dyDescent="0.25">
      <c r="A62" s="801">
        <v>6</v>
      </c>
      <c r="B62" s="810" t="s">
        <v>214</v>
      </c>
      <c r="C62" s="810" t="s">
        <v>215</v>
      </c>
      <c r="D62" s="801" t="s">
        <v>23</v>
      </c>
      <c r="E62" s="810" t="s">
        <v>17</v>
      </c>
      <c r="F62" s="874" t="s">
        <v>216</v>
      </c>
      <c r="G62" s="810" t="s">
        <v>217</v>
      </c>
      <c r="H62" s="803" t="s">
        <v>60</v>
      </c>
      <c r="I62" s="634">
        <v>420520</v>
      </c>
      <c r="J62" s="735">
        <v>0.61980000000000002</v>
      </c>
      <c r="K62" s="735">
        <v>1.3599999999999999E-2</v>
      </c>
      <c r="L62" s="735">
        <v>2.3E-3</v>
      </c>
      <c r="M62" s="937">
        <v>3.1399999999999999E-9</v>
      </c>
      <c r="N62" s="842">
        <v>1.6200000000000001E-4</v>
      </c>
    </row>
    <row r="63" spans="1:18" ht="29.1" customHeight="1" x14ac:dyDescent="0.25">
      <c r="A63" s="1228" t="s">
        <v>5306</v>
      </c>
      <c r="B63" s="1229"/>
      <c r="C63" s="1229"/>
      <c r="D63" s="1229"/>
      <c r="E63" s="1229"/>
      <c r="F63" s="1229"/>
      <c r="G63" s="1229"/>
      <c r="H63" s="1229"/>
      <c r="I63" s="1229"/>
      <c r="J63" s="1229"/>
      <c r="K63" s="1229"/>
      <c r="L63" s="1229"/>
      <c r="M63" s="1229"/>
      <c r="N63" s="1229"/>
    </row>
    <row r="64" spans="1:18" ht="14.1" customHeight="1" x14ac:dyDescent="0.25">
      <c r="A64" s="169" t="s">
        <v>226</v>
      </c>
      <c r="B64" s="136"/>
      <c r="C64" s="136"/>
      <c r="D64" s="136"/>
      <c r="E64" s="136"/>
      <c r="F64" s="875"/>
      <c r="G64" s="136"/>
      <c r="H64" s="136"/>
      <c r="I64" s="136"/>
      <c r="J64" s="136"/>
      <c r="K64" s="136"/>
      <c r="L64" s="136"/>
      <c r="M64" s="136"/>
      <c r="N64" s="801"/>
    </row>
    <row r="65" spans="1:14" x14ac:dyDescent="0.25">
      <c r="A65" s="1238" t="s">
        <v>227</v>
      </c>
      <c r="B65" s="1239"/>
      <c r="C65" s="1239"/>
      <c r="D65" s="1239"/>
      <c r="E65" s="1239"/>
      <c r="F65" s="1239"/>
      <c r="G65" s="1239"/>
      <c r="H65" s="1239"/>
      <c r="I65" s="1239"/>
      <c r="J65" s="1239"/>
      <c r="K65" s="1239"/>
      <c r="L65" s="1239"/>
      <c r="M65" s="1239"/>
      <c r="N65" s="801"/>
    </row>
    <row r="66" spans="1:14" ht="29.25" customHeight="1" x14ac:dyDescent="0.25">
      <c r="A66" s="1240" t="s">
        <v>228</v>
      </c>
      <c r="B66" s="1241"/>
      <c r="C66" s="1241"/>
      <c r="D66" s="1241"/>
      <c r="E66" s="1241"/>
      <c r="F66" s="1241"/>
      <c r="G66" s="1241"/>
      <c r="H66" s="1241"/>
      <c r="I66" s="1241"/>
      <c r="J66" s="1241"/>
      <c r="K66" s="1241"/>
      <c r="L66" s="1241"/>
      <c r="M66" s="1241"/>
      <c r="N66" s="801"/>
    </row>
    <row r="67" spans="1:14" ht="28.35" customHeight="1" x14ac:dyDescent="0.25">
      <c r="A67" s="1236" t="s">
        <v>5274</v>
      </c>
      <c r="B67" s="1236"/>
      <c r="C67" s="1236"/>
      <c r="D67" s="1236"/>
      <c r="E67" s="1236"/>
      <c r="F67" s="1236"/>
      <c r="G67" s="1236"/>
      <c r="H67" s="1236"/>
      <c r="I67" s="1236"/>
      <c r="J67" s="1236"/>
      <c r="K67" s="1236"/>
      <c r="L67" s="1236"/>
      <c r="M67" s="1236"/>
      <c r="N67" s="1236"/>
    </row>
    <row r="68" spans="1:14" x14ac:dyDescent="0.25">
      <c r="A68" s="737" t="s">
        <v>229</v>
      </c>
      <c r="B68" s="804"/>
      <c r="C68" s="804"/>
      <c r="D68" s="804"/>
      <c r="E68" s="804"/>
      <c r="F68" s="872"/>
      <c r="G68" s="804"/>
      <c r="H68" s="804"/>
      <c r="I68" s="804"/>
      <c r="J68" s="804"/>
      <c r="K68" s="804"/>
      <c r="L68" s="804"/>
      <c r="M68" s="804"/>
      <c r="N68" s="801"/>
    </row>
    <row r="69" spans="1:14" x14ac:dyDescent="0.25">
      <c r="A69" s="737" t="s">
        <v>230</v>
      </c>
      <c r="B69" s="801"/>
      <c r="C69" s="801"/>
      <c r="D69" s="801"/>
      <c r="E69" s="801"/>
      <c r="F69" s="872"/>
      <c r="G69" s="801"/>
      <c r="H69" s="801"/>
      <c r="I69" s="801"/>
      <c r="J69" s="801"/>
      <c r="K69" s="801"/>
      <c r="L69" s="801"/>
      <c r="M69" s="801"/>
      <c r="N69" s="801"/>
    </row>
    <row r="70" spans="1:14" ht="25.5" customHeight="1" x14ac:dyDescent="0.25">
      <c r="A70" s="1226" t="s">
        <v>231</v>
      </c>
      <c r="B70" s="1226"/>
      <c r="C70" s="1226"/>
      <c r="D70" s="1226"/>
      <c r="E70" s="1226"/>
      <c r="F70" s="1226"/>
      <c r="G70" s="1226"/>
      <c r="H70" s="1226"/>
      <c r="I70" s="1226"/>
      <c r="J70" s="1226"/>
      <c r="K70" s="1226"/>
      <c r="L70" s="1226"/>
      <c r="M70" s="1226"/>
      <c r="N70" s="1226"/>
    </row>
    <row r="71" spans="1:14" ht="13.15" customHeight="1" x14ac:dyDescent="0.25">
      <c r="A71" s="1231" t="s">
        <v>232</v>
      </c>
      <c r="B71" s="1232"/>
      <c r="C71" s="1232"/>
      <c r="D71" s="1232"/>
      <c r="E71" s="1232"/>
      <c r="F71" s="1232"/>
      <c r="G71" s="1232"/>
      <c r="H71" s="1232"/>
      <c r="I71" s="1232"/>
      <c r="J71" s="1232"/>
      <c r="K71" s="1232"/>
      <c r="L71" s="1232"/>
      <c r="M71" s="1232"/>
      <c r="N71" s="801"/>
    </row>
    <row r="72" spans="1:14" ht="42.6" customHeight="1" x14ac:dyDescent="0.25">
      <c r="A72" s="1227" t="s">
        <v>5257</v>
      </c>
      <c r="B72" s="1227"/>
      <c r="C72" s="1227"/>
      <c r="D72" s="1227"/>
      <c r="E72" s="1227"/>
      <c r="F72" s="1227"/>
      <c r="G72" s="1227"/>
      <c r="H72" s="1227"/>
      <c r="I72" s="1227"/>
      <c r="J72" s="1227"/>
      <c r="K72" s="1227"/>
      <c r="L72" s="1227"/>
      <c r="M72" s="1227"/>
      <c r="N72" s="1227"/>
    </row>
    <row r="73" spans="1:14" x14ac:dyDescent="0.25">
      <c r="A73" s="139" t="s">
        <v>5290</v>
      </c>
    </row>
    <row r="74" spans="1:14" x14ac:dyDescent="0.25">
      <c r="A74" s="801"/>
      <c r="B74" s="801"/>
      <c r="C74" s="801"/>
      <c r="D74" s="801"/>
      <c r="E74" s="801"/>
      <c r="F74" s="872"/>
      <c r="G74" s="801"/>
      <c r="H74" s="803"/>
      <c r="I74" s="801"/>
      <c r="M74" s="801"/>
    </row>
    <row r="75" spans="1:14" x14ac:dyDescent="0.25">
      <c r="A75" s="801"/>
      <c r="B75" s="801"/>
      <c r="C75" s="801"/>
      <c r="D75" s="801"/>
      <c r="E75" s="801"/>
      <c r="F75" s="872"/>
      <c r="G75" s="801"/>
      <c r="H75" s="803"/>
      <c r="I75" s="801"/>
      <c r="M75" s="801"/>
    </row>
    <row r="76" spans="1:14" x14ac:dyDescent="0.25">
      <c r="A76" s="801"/>
      <c r="B76" s="801"/>
      <c r="C76" s="801"/>
      <c r="D76" s="801"/>
      <c r="E76" s="801"/>
      <c r="F76" s="872"/>
      <c r="G76" s="801"/>
      <c r="H76" s="803"/>
      <c r="I76" s="801"/>
      <c r="M76" s="801"/>
    </row>
    <row r="77" spans="1:14" x14ac:dyDescent="0.25">
      <c r="A77" s="801"/>
      <c r="B77" s="801"/>
      <c r="C77" s="801"/>
      <c r="D77" s="801"/>
      <c r="E77" s="801"/>
      <c r="F77" s="872"/>
      <c r="G77" s="801"/>
      <c r="H77" s="803"/>
      <c r="I77" s="801"/>
      <c r="M77" s="801"/>
    </row>
  </sheetData>
  <mergeCells count="40">
    <mergeCell ref="A4:N4"/>
    <mergeCell ref="H33:H34"/>
    <mergeCell ref="A22:M22"/>
    <mergeCell ref="A65:M65"/>
    <mergeCell ref="A66:M66"/>
    <mergeCell ref="A5:N5"/>
    <mergeCell ref="A27:N27"/>
    <mergeCell ref="A28:A29"/>
    <mergeCell ref="F28:F29"/>
    <mergeCell ref="H28:H29"/>
    <mergeCell ref="A19:A20"/>
    <mergeCell ref="A16:A18"/>
    <mergeCell ref="A26:N26"/>
    <mergeCell ref="H55:H56"/>
    <mergeCell ref="A35:A36"/>
    <mergeCell ref="H35:H36"/>
    <mergeCell ref="H57:H58"/>
    <mergeCell ref="H48:H51"/>
    <mergeCell ref="A53:A54"/>
    <mergeCell ref="F53:F54"/>
    <mergeCell ref="H53:H54"/>
    <mergeCell ref="A48:A51"/>
    <mergeCell ref="A55:A56"/>
    <mergeCell ref="F49:F50"/>
    <mergeCell ref="A33:A34"/>
    <mergeCell ref="A70:N70"/>
    <mergeCell ref="A72:N72"/>
    <mergeCell ref="A63:N63"/>
    <mergeCell ref="A59:M59"/>
    <mergeCell ref="A61:M61"/>
    <mergeCell ref="A71:M71"/>
    <mergeCell ref="H37:H38"/>
    <mergeCell ref="A42:A43"/>
    <mergeCell ref="H42:H43"/>
    <mergeCell ref="A44:A45"/>
    <mergeCell ref="F44:F45"/>
    <mergeCell ref="H44:H45"/>
    <mergeCell ref="A67:N67"/>
    <mergeCell ref="A37:A38"/>
    <mergeCell ref="A57:A5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O57"/>
  <sheetViews>
    <sheetView zoomScale="75" zoomScaleNormal="75" zoomScalePageLayoutView="75" workbookViewId="0">
      <selection activeCell="L7" sqref="L7"/>
    </sheetView>
  </sheetViews>
  <sheetFormatPr defaultColWidth="11.7109375" defaultRowHeight="15" x14ac:dyDescent="0.25"/>
  <cols>
    <col min="1" max="1" width="13.28515625" style="653" bestFit="1" customWidth="1"/>
    <col min="2" max="2" width="4.28515625" style="649" customWidth="1"/>
    <col min="3" max="3" width="11.42578125" style="649" customWidth="1"/>
    <col min="4" max="4" width="6" style="649" customWidth="1"/>
    <col min="5" max="5" width="6.140625" style="649" customWidth="1"/>
    <col min="6" max="6" width="11.42578125" style="650" customWidth="1"/>
    <col min="7" max="7" width="12.42578125" style="649" bestFit="1" customWidth="1"/>
    <col min="8" max="8" width="10.42578125" style="651" customWidth="1"/>
    <col min="9" max="9" width="7" style="651" customWidth="1"/>
    <col min="10" max="10" width="6.42578125" style="651" customWidth="1"/>
    <col min="11" max="11" width="9.140625" style="652" customWidth="1"/>
    <col min="12" max="12" width="10.85546875" style="651" customWidth="1"/>
    <col min="13" max="13" width="7" style="651" customWidth="1"/>
    <col min="14" max="14" width="6.42578125" style="651" customWidth="1"/>
    <col min="15" max="15" width="9.140625" style="652" customWidth="1"/>
    <col min="16" max="16" width="10.85546875" style="651" customWidth="1"/>
    <col min="17" max="17" width="7" style="651" customWidth="1"/>
    <col min="18" max="18" width="6.42578125" style="651" customWidth="1"/>
    <col min="19" max="19" width="9.140625" style="652" customWidth="1"/>
    <col min="20" max="16384" width="11.7109375" style="653"/>
  </cols>
  <sheetData>
    <row r="1" spans="1:19" ht="37.5" customHeight="1" x14ac:dyDescent="0.25">
      <c r="A1" s="1436" t="s">
        <v>5611</v>
      </c>
      <c r="B1" s="1436"/>
      <c r="C1" s="1436"/>
      <c r="D1" s="1436"/>
      <c r="E1" s="1436"/>
      <c r="F1" s="1436"/>
      <c r="G1" s="1436"/>
      <c r="H1" s="1436"/>
      <c r="I1" s="1436"/>
      <c r="J1" s="1436"/>
      <c r="K1" s="1436"/>
      <c r="L1" s="1436"/>
      <c r="M1" s="1436"/>
      <c r="N1" s="1436"/>
      <c r="O1" s="1436"/>
      <c r="P1" s="1436"/>
      <c r="Q1" s="1436"/>
      <c r="R1" s="1436"/>
      <c r="S1" s="1436"/>
    </row>
    <row r="2" spans="1:19" ht="57.75" customHeight="1" x14ac:dyDescent="0.25">
      <c r="A2" s="1431" t="s">
        <v>3</v>
      </c>
      <c r="B2" s="1431" t="s">
        <v>891</v>
      </c>
      <c r="C2" s="1431" t="s">
        <v>2059</v>
      </c>
      <c r="D2" s="1433" t="s">
        <v>2060</v>
      </c>
      <c r="E2" s="1433"/>
      <c r="F2" s="1434" t="s">
        <v>893</v>
      </c>
      <c r="G2" s="1431" t="s">
        <v>894</v>
      </c>
      <c r="H2" s="1438" t="s">
        <v>5284</v>
      </c>
      <c r="I2" s="1439"/>
      <c r="J2" s="1439"/>
      <c r="K2" s="1440"/>
      <c r="L2" s="1438" t="s">
        <v>5285</v>
      </c>
      <c r="M2" s="1439"/>
      <c r="N2" s="1439"/>
      <c r="O2" s="1439"/>
      <c r="P2" s="1438" t="s">
        <v>5286</v>
      </c>
      <c r="Q2" s="1439"/>
      <c r="R2" s="1439"/>
      <c r="S2" s="1440"/>
    </row>
    <row r="3" spans="1:19" ht="63" thickBot="1" x14ac:dyDescent="0.3">
      <c r="A3" s="1432"/>
      <c r="B3" s="1432"/>
      <c r="C3" s="1432"/>
      <c r="D3" s="378" t="s">
        <v>2061</v>
      </c>
      <c r="E3" s="378" t="s">
        <v>690</v>
      </c>
      <c r="F3" s="1435"/>
      <c r="G3" s="1432"/>
      <c r="H3" s="379" t="s">
        <v>8</v>
      </c>
      <c r="I3" s="380" t="s">
        <v>5331</v>
      </c>
      <c r="J3" s="380" t="s">
        <v>10</v>
      </c>
      <c r="K3" s="1074" t="s">
        <v>5258</v>
      </c>
      <c r="L3" s="380" t="s">
        <v>8</v>
      </c>
      <c r="M3" s="380" t="s">
        <v>5331</v>
      </c>
      <c r="N3" s="380" t="s">
        <v>10</v>
      </c>
      <c r="O3" s="1074" t="s">
        <v>5258</v>
      </c>
      <c r="P3" s="379" t="s">
        <v>8</v>
      </c>
      <c r="Q3" s="380" t="s">
        <v>5331</v>
      </c>
      <c r="R3" s="380" t="s">
        <v>10</v>
      </c>
      <c r="S3" s="1074" t="s">
        <v>5258</v>
      </c>
    </row>
    <row r="4" spans="1:19" ht="15.75" thickTop="1" x14ac:dyDescent="0.25">
      <c r="A4" s="649" t="s">
        <v>15</v>
      </c>
      <c r="B4" s="649">
        <v>1</v>
      </c>
      <c r="C4" s="649">
        <v>119427467</v>
      </c>
      <c r="D4" s="649" t="s">
        <v>16</v>
      </c>
      <c r="E4" s="649" t="s">
        <v>17</v>
      </c>
      <c r="F4" s="650" t="s">
        <v>18</v>
      </c>
      <c r="G4" s="649" t="s">
        <v>19</v>
      </c>
      <c r="H4" s="671">
        <v>0.9545658429248477</v>
      </c>
      <c r="I4" s="672">
        <v>-3.5055000000000003E-2</v>
      </c>
      <c r="J4" s="673">
        <v>7.0910000000000001E-2</v>
      </c>
      <c r="K4" s="674">
        <v>0.62105399999999999</v>
      </c>
      <c r="L4" s="651">
        <v>0.9540020539811932</v>
      </c>
      <c r="M4" s="651">
        <v>4.47935E-2</v>
      </c>
      <c r="N4" s="651">
        <v>0.103811</v>
      </c>
      <c r="O4" s="652">
        <v>0.66611200000000004</v>
      </c>
      <c r="P4" s="671">
        <v>0.95519501450521116</v>
      </c>
      <c r="Q4" s="672">
        <v>-0.12636</v>
      </c>
      <c r="R4" s="672">
        <v>9.51539E-2</v>
      </c>
      <c r="S4" s="674">
        <v>0.184198</v>
      </c>
    </row>
    <row r="5" spans="1:19" x14ac:dyDescent="0.25">
      <c r="A5" s="649" t="s">
        <v>22</v>
      </c>
      <c r="B5" s="649">
        <v>1</v>
      </c>
      <c r="C5" s="649">
        <v>119469188</v>
      </c>
      <c r="D5" s="649" t="s">
        <v>23</v>
      </c>
      <c r="E5" s="649" t="s">
        <v>24</v>
      </c>
      <c r="F5" s="650" t="s">
        <v>18</v>
      </c>
      <c r="G5" s="649" t="s">
        <v>25</v>
      </c>
      <c r="H5" s="671">
        <v>0.18020057549085985</v>
      </c>
      <c r="I5" s="672">
        <v>1.6854299999999999E-2</v>
      </c>
      <c r="J5" s="673">
        <v>3.8515099999999997E-2</v>
      </c>
      <c r="K5" s="674">
        <v>0.66167500000000001</v>
      </c>
      <c r="L5" s="651">
        <v>0.18054976090375172</v>
      </c>
      <c r="M5" s="651">
        <v>3.1995200000000001E-2</v>
      </c>
      <c r="N5" s="651">
        <v>5.6629699999999998E-2</v>
      </c>
      <c r="O5" s="652">
        <v>0.57208199999999998</v>
      </c>
      <c r="P5" s="671">
        <v>0.1798108950252498</v>
      </c>
      <c r="Q5" s="672">
        <v>-1.4141499999999999E-4</v>
      </c>
      <c r="R5" s="672">
        <v>5.1430400000000001E-2</v>
      </c>
      <c r="S5" s="674">
        <v>0.99780599999999997</v>
      </c>
    </row>
    <row r="6" spans="1:19" x14ac:dyDescent="0.25">
      <c r="A6" s="649" t="s">
        <v>27</v>
      </c>
      <c r="B6" s="649">
        <v>1</v>
      </c>
      <c r="C6" s="649">
        <v>154987704</v>
      </c>
      <c r="D6" s="649" t="s">
        <v>17</v>
      </c>
      <c r="E6" s="649" t="s">
        <v>23</v>
      </c>
      <c r="F6" s="650" t="s">
        <v>28</v>
      </c>
      <c r="G6" s="649" t="s">
        <v>29</v>
      </c>
      <c r="H6" s="671">
        <v>0.97790707515233577</v>
      </c>
      <c r="I6" s="672">
        <v>-3.5782700000000001E-2</v>
      </c>
      <c r="J6" s="673">
        <v>0.101185</v>
      </c>
      <c r="K6" s="674">
        <v>0.72361299999999995</v>
      </c>
      <c r="L6" s="651">
        <v>0.97803202926923205</v>
      </c>
      <c r="M6" s="651">
        <v>-0.115842</v>
      </c>
      <c r="N6" s="651">
        <v>0.149452</v>
      </c>
      <c r="O6" s="652">
        <v>0.43827700000000003</v>
      </c>
      <c r="P6" s="671">
        <v>0.97776763009920853</v>
      </c>
      <c r="Q6" s="672">
        <v>5.2377399999999998E-2</v>
      </c>
      <c r="R6" s="672">
        <v>0.134435</v>
      </c>
      <c r="S6" s="674">
        <v>0.69682599999999995</v>
      </c>
    </row>
    <row r="7" spans="1:19" x14ac:dyDescent="0.25">
      <c r="A7" s="649" t="s">
        <v>32</v>
      </c>
      <c r="B7" s="649">
        <v>2</v>
      </c>
      <c r="C7" s="649">
        <v>158412701</v>
      </c>
      <c r="D7" s="649" t="s">
        <v>23</v>
      </c>
      <c r="E7" s="649" t="s">
        <v>24</v>
      </c>
      <c r="F7" s="650" t="s">
        <v>33</v>
      </c>
      <c r="G7" s="649" t="s">
        <v>34</v>
      </c>
      <c r="H7" s="671">
        <v>0.98794854434664858</v>
      </c>
      <c r="I7" s="672">
        <v>-2.0713200000000001E-2</v>
      </c>
      <c r="J7" s="673">
        <v>0.13578499999999999</v>
      </c>
      <c r="K7" s="674">
        <v>0.87875800000000004</v>
      </c>
      <c r="L7" s="651">
        <v>0.98778843993709686</v>
      </c>
      <c r="M7" s="651">
        <v>0.118535</v>
      </c>
      <c r="N7" s="651">
        <v>0.19856299999999999</v>
      </c>
      <c r="O7" s="652">
        <v>0.55053200000000002</v>
      </c>
      <c r="P7" s="671">
        <v>0.98812721607392284</v>
      </c>
      <c r="Q7" s="672">
        <v>-0.180704</v>
      </c>
      <c r="R7" s="672">
        <v>0.18244299999999999</v>
      </c>
      <c r="S7" s="674">
        <v>0.32194899999999999</v>
      </c>
    </row>
    <row r="8" spans="1:19" x14ac:dyDescent="0.25">
      <c r="A8" s="649" t="s">
        <v>37</v>
      </c>
      <c r="B8" s="649">
        <v>2</v>
      </c>
      <c r="C8" s="649">
        <v>165551201</v>
      </c>
      <c r="D8" s="649" t="s">
        <v>23</v>
      </c>
      <c r="E8" s="649" t="s">
        <v>17</v>
      </c>
      <c r="F8" s="650" t="s">
        <v>38</v>
      </c>
      <c r="G8" s="649" t="s">
        <v>39</v>
      </c>
      <c r="H8" s="671">
        <v>0.88143161814488824</v>
      </c>
      <c r="I8" s="672">
        <v>-0.207177</v>
      </c>
      <c r="J8" s="673">
        <v>4.5753299999999997E-2</v>
      </c>
      <c r="K8" s="674">
        <v>5.9568399999999997E-6</v>
      </c>
      <c r="L8" s="651">
        <v>0.88261808787188289</v>
      </c>
      <c r="M8" s="651">
        <v>-0.26405600000000001</v>
      </c>
      <c r="N8" s="651">
        <v>6.7799700000000004E-2</v>
      </c>
      <c r="O8" s="652">
        <v>9.8443099999999999E-5</v>
      </c>
      <c r="P8" s="671">
        <v>0.88010753554672116</v>
      </c>
      <c r="Q8" s="672">
        <v>-0.14541100000000001</v>
      </c>
      <c r="R8" s="672">
        <v>6.0573000000000002E-2</v>
      </c>
      <c r="S8" s="674">
        <v>1.6371799999999999E-2</v>
      </c>
    </row>
    <row r="9" spans="1:19" x14ac:dyDescent="0.25">
      <c r="A9" s="649" t="s">
        <v>42</v>
      </c>
      <c r="B9" s="649">
        <v>2</v>
      </c>
      <c r="C9" s="649">
        <v>188343497</v>
      </c>
      <c r="D9" s="649" t="s">
        <v>23</v>
      </c>
      <c r="E9" s="649" t="s">
        <v>17</v>
      </c>
      <c r="F9" s="650" t="s">
        <v>43</v>
      </c>
      <c r="G9" s="649" t="s">
        <v>44</v>
      </c>
      <c r="H9" s="671">
        <v>0.70636002031144218</v>
      </c>
      <c r="I9" s="672">
        <v>6.4487600000000006E-2</v>
      </c>
      <c r="J9" s="673">
        <v>3.2531600000000001E-2</v>
      </c>
      <c r="K9" s="674">
        <v>4.7447099999999999E-2</v>
      </c>
      <c r="L9" s="651">
        <v>0.70643313328412338</v>
      </c>
      <c r="M9" s="651">
        <v>9.6732200000000004E-2</v>
      </c>
      <c r="N9" s="651">
        <v>4.7883200000000001E-2</v>
      </c>
      <c r="O9" s="652">
        <v>4.3369999999999999E-2</v>
      </c>
      <c r="P9" s="671">
        <v>0.70627842842305077</v>
      </c>
      <c r="Q9" s="672">
        <v>2.8458799999999999E-2</v>
      </c>
      <c r="R9" s="672">
        <v>4.3388200000000002E-2</v>
      </c>
      <c r="S9" s="674">
        <v>0.51188299999999998</v>
      </c>
    </row>
    <row r="10" spans="1:19" x14ac:dyDescent="0.25">
      <c r="A10" s="649" t="s">
        <v>47</v>
      </c>
      <c r="B10" s="649">
        <v>3</v>
      </c>
      <c r="C10" s="649">
        <v>50597092</v>
      </c>
      <c r="D10" s="649" t="s">
        <v>24</v>
      </c>
      <c r="E10" s="649" t="s">
        <v>16</v>
      </c>
      <c r="F10" s="650" t="s">
        <v>48</v>
      </c>
      <c r="G10" s="649" t="s">
        <v>49</v>
      </c>
      <c r="H10" s="671">
        <v>0.12973933649289104</v>
      </c>
      <c r="I10" s="672">
        <v>1.8432E-2</v>
      </c>
      <c r="J10" s="673">
        <v>4.40259E-2</v>
      </c>
      <c r="K10" s="674">
        <v>0.67546399999999995</v>
      </c>
      <c r="L10" s="651">
        <v>0.13066850669148555</v>
      </c>
      <c r="M10" s="651">
        <v>4.8044000000000003E-2</v>
      </c>
      <c r="N10" s="651">
        <v>6.4780199999999996E-2</v>
      </c>
      <c r="O10" s="652">
        <v>0.45830399999999999</v>
      </c>
      <c r="P10" s="671">
        <v>0.12870241037212138</v>
      </c>
      <c r="Q10" s="672">
        <v>-1.4703900000000001E-2</v>
      </c>
      <c r="R10" s="672">
        <v>5.8741300000000003E-2</v>
      </c>
      <c r="S10" s="674">
        <v>0.80234300000000003</v>
      </c>
    </row>
    <row r="11" spans="1:19" x14ac:dyDescent="0.25">
      <c r="A11" s="649" t="s">
        <v>51</v>
      </c>
      <c r="B11" s="649">
        <v>3</v>
      </c>
      <c r="C11" s="649">
        <v>52558008</v>
      </c>
      <c r="D11" s="649" t="s">
        <v>23</v>
      </c>
      <c r="E11" s="649" t="s">
        <v>17</v>
      </c>
      <c r="F11" s="650" t="s">
        <v>915</v>
      </c>
      <c r="G11" s="649" t="s">
        <v>52</v>
      </c>
      <c r="H11" s="671">
        <v>0.44174001354096137</v>
      </c>
      <c r="I11" s="672">
        <v>6.2114700000000002E-3</v>
      </c>
      <c r="J11" s="673">
        <v>2.9772300000000002E-2</v>
      </c>
      <c r="K11" s="674">
        <v>0.834735</v>
      </c>
      <c r="L11" s="651">
        <v>0.44260085368593349</v>
      </c>
      <c r="M11" s="651">
        <v>-1.7111699999999999E-3</v>
      </c>
      <c r="N11" s="651">
        <v>4.3859000000000002E-2</v>
      </c>
      <c r="O11" s="652">
        <v>0.96887800000000002</v>
      </c>
      <c r="P11" s="671">
        <v>0.44077934171412203</v>
      </c>
      <c r="Q11" s="672">
        <v>1.5032999999999999E-2</v>
      </c>
      <c r="R11" s="672">
        <v>3.9670999999999998E-2</v>
      </c>
      <c r="S11" s="674">
        <v>0.70473200000000003</v>
      </c>
    </row>
    <row r="12" spans="1:19" x14ac:dyDescent="0.25">
      <c r="A12" s="649" t="s">
        <v>55</v>
      </c>
      <c r="B12" s="649">
        <v>3</v>
      </c>
      <c r="C12" s="649">
        <v>52833805</v>
      </c>
      <c r="D12" s="649" t="s">
        <v>17</v>
      </c>
      <c r="E12" s="649" t="s">
        <v>16</v>
      </c>
      <c r="F12" s="650" t="s">
        <v>916</v>
      </c>
      <c r="G12" s="649" t="s">
        <v>56</v>
      </c>
      <c r="H12" s="671">
        <v>0.55045700744752879</v>
      </c>
      <c r="I12" s="672">
        <v>-3.2403300000000003E-2</v>
      </c>
      <c r="J12" s="673">
        <v>2.9738799999999999E-2</v>
      </c>
      <c r="K12" s="674">
        <v>0.275893</v>
      </c>
      <c r="L12" s="651">
        <v>0.5511409223659296</v>
      </c>
      <c r="M12" s="651">
        <v>-4.5269700000000003E-2</v>
      </c>
      <c r="N12" s="651">
        <v>4.38092E-2</v>
      </c>
      <c r="O12" s="652">
        <v>0.30145</v>
      </c>
      <c r="P12" s="671">
        <v>0.5496937788761147</v>
      </c>
      <c r="Q12" s="672">
        <v>-1.8077300000000001E-2</v>
      </c>
      <c r="R12" s="672">
        <v>3.9626599999999998E-2</v>
      </c>
      <c r="S12" s="674">
        <v>0.64825500000000003</v>
      </c>
    </row>
    <row r="13" spans="1:19" x14ac:dyDescent="0.25">
      <c r="A13" s="649" t="s">
        <v>58</v>
      </c>
      <c r="B13" s="649">
        <v>3</v>
      </c>
      <c r="C13" s="649">
        <v>129137188</v>
      </c>
      <c r="D13" s="649" t="s">
        <v>17</v>
      </c>
      <c r="E13" s="649" t="s">
        <v>23</v>
      </c>
      <c r="F13" s="650" t="s">
        <v>917</v>
      </c>
      <c r="G13" s="649" t="s">
        <v>59</v>
      </c>
      <c r="H13" s="671">
        <v>0.92868568043331079</v>
      </c>
      <c r="I13" s="672">
        <v>-0.148591</v>
      </c>
      <c r="J13" s="673">
        <v>5.75091E-2</v>
      </c>
      <c r="K13" s="674">
        <v>9.7733799999999999E-3</v>
      </c>
      <c r="L13" s="651">
        <v>0.92930613947816043</v>
      </c>
      <c r="M13" s="651">
        <v>-0.306898</v>
      </c>
      <c r="N13" s="651">
        <v>8.5001400000000005E-2</v>
      </c>
      <c r="O13" s="652">
        <v>3.0583999999999999E-4</v>
      </c>
      <c r="P13" s="671">
        <v>0.92799326671680815</v>
      </c>
      <c r="Q13" s="672">
        <v>2.5168099999999999E-2</v>
      </c>
      <c r="R13" s="672">
        <v>7.6344999999999996E-2</v>
      </c>
      <c r="S13" s="674">
        <v>0.74165599999999998</v>
      </c>
    </row>
    <row r="14" spans="1:19" x14ac:dyDescent="0.25">
      <c r="A14" s="649" t="s">
        <v>62</v>
      </c>
      <c r="B14" s="649">
        <v>3</v>
      </c>
      <c r="C14" s="649">
        <v>129284818</v>
      </c>
      <c r="D14" s="649" t="s">
        <v>16</v>
      </c>
      <c r="E14" s="649" t="s">
        <v>17</v>
      </c>
      <c r="F14" s="650" t="s">
        <v>216</v>
      </c>
      <c r="G14" s="649" t="s">
        <v>63</v>
      </c>
      <c r="H14" s="671">
        <v>0.71220379146919433</v>
      </c>
      <c r="I14" s="672">
        <v>-2.8285500000000002E-2</v>
      </c>
      <c r="J14" s="673">
        <v>3.2734100000000002E-2</v>
      </c>
      <c r="K14" s="674">
        <v>0.38753500000000002</v>
      </c>
      <c r="L14" s="651">
        <v>0.71333322635514618</v>
      </c>
      <c r="M14" s="651">
        <v>-9.88174E-2</v>
      </c>
      <c r="N14" s="651">
        <v>4.8287700000000003E-2</v>
      </c>
      <c r="O14" s="652">
        <v>4.07181E-2</v>
      </c>
      <c r="P14" s="671">
        <v>0.71094337595358326</v>
      </c>
      <c r="Q14" s="672">
        <v>4.9789399999999998E-2</v>
      </c>
      <c r="R14" s="672">
        <v>4.35503E-2</v>
      </c>
      <c r="S14" s="674">
        <v>0.25293500000000002</v>
      </c>
    </row>
    <row r="15" spans="1:19" x14ac:dyDescent="0.25">
      <c r="A15" s="649" t="s">
        <v>215</v>
      </c>
      <c r="B15" s="649">
        <v>3</v>
      </c>
      <c r="C15" s="649">
        <v>129293256</v>
      </c>
      <c r="D15" s="649" t="s">
        <v>23</v>
      </c>
      <c r="E15" s="649" t="s">
        <v>17</v>
      </c>
      <c r="F15" s="650" t="s">
        <v>216</v>
      </c>
      <c r="G15" s="649" t="s">
        <v>217</v>
      </c>
      <c r="H15" s="671">
        <v>0.61526320243737298</v>
      </c>
      <c r="I15" s="672">
        <v>-4.3055999999999997E-2</v>
      </c>
      <c r="J15" s="673">
        <v>3.0387500000000001E-2</v>
      </c>
      <c r="K15" s="674">
        <v>0.15651499999999999</v>
      </c>
      <c r="L15" s="651">
        <v>0.61667575981257428</v>
      </c>
      <c r="M15" s="651">
        <v>-9.3324799999999999E-2</v>
      </c>
      <c r="N15" s="651">
        <v>4.4848100000000002E-2</v>
      </c>
      <c r="O15" s="652">
        <v>3.7446199999999999E-2</v>
      </c>
      <c r="P15" s="671">
        <v>0.61368683070090613</v>
      </c>
      <c r="Q15" s="672">
        <v>1.2474600000000001E-2</v>
      </c>
      <c r="R15" s="672">
        <v>4.0407499999999999E-2</v>
      </c>
      <c r="S15" s="674">
        <v>0.75753700000000002</v>
      </c>
    </row>
    <row r="16" spans="1:19" x14ac:dyDescent="0.25">
      <c r="A16" s="649" t="s">
        <v>65</v>
      </c>
      <c r="B16" s="649">
        <v>4</v>
      </c>
      <c r="C16" s="649">
        <v>89625427</v>
      </c>
      <c r="D16" s="649" t="s">
        <v>24</v>
      </c>
      <c r="E16" s="649" t="s">
        <v>17</v>
      </c>
      <c r="F16" s="650" t="s">
        <v>918</v>
      </c>
      <c r="G16" s="649" t="s">
        <v>66</v>
      </c>
      <c r="H16" s="671">
        <v>0.83750846310088023</v>
      </c>
      <c r="I16" s="672">
        <v>-7.8162300000000004E-2</v>
      </c>
      <c r="J16" s="673">
        <v>4.0106099999999999E-2</v>
      </c>
      <c r="K16" s="674">
        <v>5.1311099999999998E-2</v>
      </c>
      <c r="L16" s="651">
        <v>0.83728617734843869</v>
      </c>
      <c r="M16" s="651">
        <v>-0.102663</v>
      </c>
      <c r="N16" s="651">
        <v>5.8988199999999998E-2</v>
      </c>
      <c r="O16" s="652">
        <v>8.1795400000000004E-2</v>
      </c>
      <c r="P16" s="671">
        <v>0.83775652734500916</v>
      </c>
      <c r="Q16" s="672">
        <v>-5.0699500000000002E-2</v>
      </c>
      <c r="R16" s="672">
        <v>5.3535300000000001E-2</v>
      </c>
      <c r="S16" s="674">
        <v>0.34362799999999999</v>
      </c>
    </row>
    <row r="17" spans="1:19" x14ac:dyDescent="0.25">
      <c r="A17" s="649" t="s">
        <v>69</v>
      </c>
      <c r="B17" s="649">
        <v>4</v>
      </c>
      <c r="C17" s="649">
        <v>89668859</v>
      </c>
      <c r="D17" s="649" t="s">
        <v>17</v>
      </c>
      <c r="E17" s="649" t="s">
        <v>23</v>
      </c>
      <c r="F17" s="650" t="s">
        <v>919</v>
      </c>
      <c r="G17" s="649" t="s">
        <v>70</v>
      </c>
      <c r="H17" s="671">
        <v>0.82354434664861209</v>
      </c>
      <c r="I17" s="672">
        <v>-6.2408100000000001E-2</v>
      </c>
      <c r="J17" s="673">
        <v>3.88335E-2</v>
      </c>
      <c r="K17" s="674">
        <v>0.108041</v>
      </c>
      <c r="L17" s="651">
        <v>0.82290028563175965</v>
      </c>
      <c r="M17" s="651">
        <v>-4.4412E-2</v>
      </c>
      <c r="N17" s="651">
        <v>5.7071700000000003E-2</v>
      </c>
      <c r="O17" s="652">
        <v>0.43646699999999999</v>
      </c>
      <c r="P17" s="671">
        <v>0.82426309945918841</v>
      </c>
      <c r="Q17" s="672">
        <v>-8.2650000000000001E-2</v>
      </c>
      <c r="R17" s="672">
        <v>5.1882299999999999E-2</v>
      </c>
      <c r="S17" s="674">
        <v>0.11115899999999999</v>
      </c>
    </row>
    <row r="18" spans="1:19" x14ac:dyDescent="0.25">
      <c r="A18" s="649" t="s">
        <v>72</v>
      </c>
      <c r="B18" s="649">
        <v>4</v>
      </c>
      <c r="C18" s="649">
        <v>120528327</v>
      </c>
      <c r="D18" s="649" t="s">
        <v>24</v>
      </c>
      <c r="E18" s="649" t="s">
        <v>16</v>
      </c>
      <c r="F18" s="650" t="s">
        <v>73</v>
      </c>
      <c r="G18" s="649" t="s">
        <v>74</v>
      </c>
      <c r="H18" s="671">
        <v>0.18046293161814486</v>
      </c>
      <c r="I18" s="672">
        <v>7.0707800000000001E-2</v>
      </c>
      <c r="J18" s="673">
        <v>3.84532E-2</v>
      </c>
      <c r="K18" s="674">
        <v>6.5946599999999994E-2</v>
      </c>
      <c r="L18" s="651">
        <v>0.18107127956609648</v>
      </c>
      <c r="M18" s="651">
        <v>5.88686E-2</v>
      </c>
      <c r="N18" s="651">
        <v>5.6491600000000003E-2</v>
      </c>
      <c r="O18" s="652">
        <v>0.297379</v>
      </c>
      <c r="P18" s="671">
        <v>0.17978403352315464</v>
      </c>
      <c r="Q18" s="672">
        <v>8.4045999999999996E-2</v>
      </c>
      <c r="R18" s="672">
        <v>5.13961E-2</v>
      </c>
      <c r="S18" s="674">
        <v>0.10199999999999999</v>
      </c>
    </row>
    <row r="19" spans="1:19" x14ac:dyDescent="0.25">
      <c r="A19" s="649" t="s">
        <v>76</v>
      </c>
      <c r="B19" s="649">
        <v>5</v>
      </c>
      <c r="C19" s="649">
        <v>176516631</v>
      </c>
      <c r="D19" s="649" t="s">
        <v>16</v>
      </c>
      <c r="E19" s="649" t="s">
        <v>24</v>
      </c>
      <c r="F19" s="650" t="s">
        <v>77</v>
      </c>
      <c r="G19" s="649" t="s">
        <v>78</v>
      </c>
      <c r="H19" s="671">
        <v>0.24791384563303995</v>
      </c>
      <c r="I19" s="672">
        <v>1.4247599999999999E-2</v>
      </c>
      <c r="J19" s="673">
        <v>3.4242099999999998E-2</v>
      </c>
      <c r="K19" s="674">
        <v>0.67734899999999998</v>
      </c>
      <c r="L19" s="651">
        <v>0.24771334124971919</v>
      </c>
      <c r="M19" s="651">
        <v>8.4693599999999994E-2</v>
      </c>
      <c r="N19" s="651">
        <v>5.0448800000000002E-2</v>
      </c>
      <c r="O19" s="652">
        <v>9.3195399999999998E-2</v>
      </c>
      <c r="P19" s="671">
        <v>0.24813760252139966</v>
      </c>
      <c r="Q19" s="672">
        <v>-6.4148200000000002E-2</v>
      </c>
      <c r="R19" s="672">
        <v>4.56195E-2</v>
      </c>
      <c r="S19" s="674">
        <v>0.15968299999999999</v>
      </c>
    </row>
    <row r="20" spans="1:19" x14ac:dyDescent="0.25">
      <c r="A20" s="649" t="s">
        <v>81</v>
      </c>
      <c r="B20" s="649">
        <v>6</v>
      </c>
      <c r="C20" s="649">
        <v>7211818</v>
      </c>
      <c r="D20" s="649" t="s">
        <v>24</v>
      </c>
      <c r="E20" s="649" t="s">
        <v>16</v>
      </c>
      <c r="F20" s="650" t="s">
        <v>82</v>
      </c>
      <c r="G20" s="649" t="s">
        <v>83</v>
      </c>
      <c r="H20" s="671">
        <v>0.57210985104942447</v>
      </c>
      <c r="I20" s="672">
        <v>1.6892899999999999E-2</v>
      </c>
      <c r="J20" s="673">
        <v>2.9910699999999998E-2</v>
      </c>
      <c r="K20" s="674">
        <v>0.57222499999999998</v>
      </c>
      <c r="L20" s="651">
        <v>0.5713116595526172</v>
      </c>
      <c r="M20" s="651">
        <v>4.33061E-2</v>
      </c>
      <c r="N20" s="651">
        <v>4.40515E-2</v>
      </c>
      <c r="O20" s="652">
        <v>0.32557199999999997</v>
      </c>
      <c r="P20" s="671">
        <v>0.57300060886071413</v>
      </c>
      <c r="Q20" s="672">
        <v>-1.25477E-2</v>
      </c>
      <c r="R20" s="672">
        <v>3.9866499999999999E-2</v>
      </c>
      <c r="S20" s="674">
        <v>0.75295800000000002</v>
      </c>
    </row>
    <row r="21" spans="1:19" x14ac:dyDescent="0.25">
      <c r="A21" s="649" t="s">
        <v>90</v>
      </c>
      <c r="B21" s="649">
        <v>6</v>
      </c>
      <c r="C21" s="649">
        <v>34827085</v>
      </c>
      <c r="D21" s="649" t="s">
        <v>16</v>
      </c>
      <c r="E21" s="649" t="s">
        <v>23</v>
      </c>
      <c r="F21" s="650" t="s">
        <v>91</v>
      </c>
      <c r="G21" s="649" t="s">
        <v>92</v>
      </c>
      <c r="H21" s="671">
        <v>0.83737305348679758</v>
      </c>
      <c r="I21" s="672">
        <v>-0.24666299999999999</v>
      </c>
      <c r="J21" s="673">
        <v>4.0027399999999998E-2</v>
      </c>
      <c r="K21" s="674">
        <v>7.1895500000000003E-10</v>
      </c>
      <c r="L21" s="651">
        <v>0.83766327545813413</v>
      </c>
      <c r="M21" s="651">
        <v>-0.29920999999999998</v>
      </c>
      <c r="N21" s="651">
        <v>5.9037399999999997E-2</v>
      </c>
      <c r="O21" s="652">
        <v>4.0286300000000003E-7</v>
      </c>
      <c r="P21" s="671">
        <v>0.83704917445650229</v>
      </c>
      <c r="Q21" s="672">
        <v>-0.18846499999999999</v>
      </c>
      <c r="R21" s="672">
        <v>5.3263900000000003E-2</v>
      </c>
      <c r="S21" s="674">
        <v>4.0299599999999997E-4</v>
      </c>
    </row>
    <row r="22" spans="1:19" x14ac:dyDescent="0.25">
      <c r="A22" s="649" t="s">
        <v>95</v>
      </c>
      <c r="B22" s="649">
        <v>6</v>
      </c>
      <c r="C22" s="649">
        <v>127476516</v>
      </c>
      <c r="D22" s="649" t="s">
        <v>16</v>
      </c>
      <c r="E22" s="649" t="s">
        <v>24</v>
      </c>
      <c r="F22" s="650" t="s">
        <v>923</v>
      </c>
      <c r="G22" s="649" t="s">
        <v>96</v>
      </c>
      <c r="H22" s="671">
        <v>0.54709292484766414</v>
      </c>
      <c r="I22" s="672">
        <v>2.1624899999999999E-2</v>
      </c>
      <c r="J22" s="673">
        <v>2.9798600000000001E-2</v>
      </c>
      <c r="K22" s="674">
        <v>0.46802300000000002</v>
      </c>
      <c r="L22" s="651">
        <v>0.54716935716807347</v>
      </c>
      <c r="M22" s="651">
        <v>5.4461700000000002E-2</v>
      </c>
      <c r="N22" s="651">
        <v>4.3938900000000003E-2</v>
      </c>
      <c r="O22" s="652">
        <v>0.21517</v>
      </c>
      <c r="P22" s="671">
        <v>0.54700762866659502</v>
      </c>
      <c r="Q22" s="672">
        <v>-1.4790599999999999E-2</v>
      </c>
      <c r="R22" s="672">
        <v>3.9663999999999998E-2</v>
      </c>
      <c r="S22" s="674">
        <v>0.70922600000000002</v>
      </c>
    </row>
    <row r="23" spans="1:19" x14ac:dyDescent="0.25">
      <c r="A23" s="654" t="s">
        <v>99</v>
      </c>
      <c r="B23" s="649">
        <v>6</v>
      </c>
      <c r="C23" s="649">
        <v>127767954</v>
      </c>
      <c r="D23" s="649" t="s">
        <v>16</v>
      </c>
      <c r="E23" s="649" t="s">
        <v>24</v>
      </c>
      <c r="F23" s="650" t="s">
        <v>924</v>
      </c>
      <c r="G23" s="649" t="s">
        <v>100</v>
      </c>
      <c r="H23" s="671">
        <v>1.1298239675016926E-2</v>
      </c>
      <c r="I23" s="672">
        <v>-0.32818900000000001</v>
      </c>
      <c r="J23" s="673">
        <v>0.13971700000000001</v>
      </c>
      <c r="K23" s="674">
        <v>1.8827699999999999E-2</v>
      </c>
      <c r="L23" s="651">
        <v>1.1529574119836966E-2</v>
      </c>
      <c r="M23" s="651">
        <v>-0.24254100000000001</v>
      </c>
      <c r="N23" s="651">
        <v>0.20429600000000001</v>
      </c>
      <c r="O23" s="652">
        <v>0.23515</v>
      </c>
      <c r="P23" s="671">
        <v>1.1040077361126034E-2</v>
      </c>
      <c r="Q23" s="672">
        <v>-0.42664400000000002</v>
      </c>
      <c r="R23" s="672">
        <v>0.187745</v>
      </c>
      <c r="S23" s="674">
        <v>2.3062200000000001E-2</v>
      </c>
    </row>
    <row r="24" spans="1:19" x14ac:dyDescent="0.25">
      <c r="A24" s="649" t="s">
        <v>102</v>
      </c>
      <c r="B24" s="649">
        <v>7</v>
      </c>
      <c r="C24" s="649">
        <v>6449496</v>
      </c>
      <c r="D24" s="649" t="s">
        <v>17</v>
      </c>
      <c r="E24" s="649" t="s">
        <v>23</v>
      </c>
      <c r="F24" s="650" t="s">
        <v>103</v>
      </c>
      <c r="G24" s="649" t="s">
        <v>104</v>
      </c>
      <c r="H24" s="671">
        <v>0.24298832092078537</v>
      </c>
      <c r="I24" s="672">
        <v>-1.28334E-2</v>
      </c>
      <c r="J24" s="673">
        <v>3.4532E-2</v>
      </c>
      <c r="K24" s="674">
        <v>0.71016400000000002</v>
      </c>
      <c r="L24" s="651">
        <v>0.24390224333258448</v>
      </c>
      <c r="M24" s="651">
        <v>-3.8865499999999997E-2</v>
      </c>
      <c r="N24" s="651">
        <v>5.0750000000000003E-2</v>
      </c>
      <c r="O24" s="652">
        <v>0.44378499999999999</v>
      </c>
      <c r="P24" s="671">
        <v>0.24196841087353604</v>
      </c>
      <c r="Q24" s="672">
        <v>1.6445000000000001E-2</v>
      </c>
      <c r="R24" s="672">
        <v>4.6135799999999998E-2</v>
      </c>
      <c r="S24" s="674">
        <v>0.72150700000000001</v>
      </c>
    </row>
    <row r="25" spans="1:19" x14ac:dyDescent="0.25">
      <c r="A25" s="649" t="s">
        <v>106</v>
      </c>
      <c r="B25" s="649">
        <v>7</v>
      </c>
      <c r="C25" s="649">
        <v>73012042</v>
      </c>
      <c r="D25" s="649" t="s">
        <v>24</v>
      </c>
      <c r="E25" s="649" t="s">
        <v>16</v>
      </c>
      <c r="F25" s="650" t="s">
        <v>107</v>
      </c>
      <c r="G25" s="649" t="s">
        <v>108</v>
      </c>
      <c r="H25" s="671">
        <v>0.87132278266756935</v>
      </c>
      <c r="I25" s="672">
        <v>7.7360200000000004E-2</v>
      </c>
      <c r="J25" s="673">
        <v>4.4167400000000002E-2</v>
      </c>
      <c r="K25" s="674">
        <v>7.9858700000000005E-2</v>
      </c>
      <c r="L25" s="651">
        <v>0.87093616611572899</v>
      </c>
      <c r="M25" s="651">
        <v>4.2923500000000003E-2</v>
      </c>
      <c r="N25" s="651">
        <v>6.50723E-2</v>
      </c>
      <c r="O25" s="652">
        <v>0.50949599999999995</v>
      </c>
      <c r="P25" s="671">
        <v>0.87175423516349704</v>
      </c>
      <c r="Q25" s="672">
        <v>0.115688</v>
      </c>
      <c r="R25" s="672">
        <v>5.8844199999999999E-2</v>
      </c>
      <c r="S25" s="674">
        <v>4.9303699999999999E-2</v>
      </c>
    </row>
    <row r="26" spans="1:19" x14ac:dyDescent="0.25">
      <c r="A26" s="649" t="s">
        <v>111</v>
      </c>
      <c r="B26" s="649">
        <v>7</v>
      </c>
      <c r="C26" s="649">
        <v>73020337</v>
      </c>
      <c r="D26" s="649" t="s">
        <v>17</v>
      </c>
      <c r="E26" s="649" t="s">
        <v>24</v>
      </c>
      <c r="F26" s="650" t="s">
        <v>107</v>
      </c>
      <c r="G26" s="649" t="s">
        <v>112</v>
      </c>
      <c r="H26" s="671">
        <v>0.87078114421123898</v>
      </c>
      <c r="I26" s="672">
        <v>6.7132200000000003E-2</v>
      </c>
      <c r="J26" s="673">
        <v>4.4097699999999997E-2</v>
      </c>
      <c r="K26" s="674">
        <v>0.12792400000000001</v>
      </c>
      <c r="L26" s="651">
        <v>0.87049488109374495</v>
      </c>
      <c r="M26" s="651">
        <v>3.0591299999999998E-2</v>
      </c>
      <c r="N26" s="651">
        <v>6.5001299999999998E-2</v>
      </c>
      <c r="O26" s="652">
        <v>0.63790899999999995</v>
      </c>
      <c r="P26" s="671">
        <v>0.87110060527918054</v>
      </c>
      <c r="Q26" s="672">
        <v>0.10771699999999999</v>
      </c>
      <c r="R26" s="672">
        <v>5.8719399999999998E-2</v>
      </c>
      <c r="S26" s="674">
        <v>6.6594E-2</v>
      </c>
    </row>
    <row r="27" spans="1:19" x14ac:dyDescent="0.25">
      <c r="A27" s="649" t="s">
        <v>114</v>
      </c>
      <c r="B27" s="649">
        <v>10</v>
      </c>
      <c r="C27" s="649">
        <v>95931087</v>
      </c>
      <c r="D27" s="649" t="s">
        <v>23</v>
      </c>
      <c r="E27" s="649" t="s">
        <v>24</v>
      </c>
      <c r="F27" s="650" t="s">
        <v>115</v>
      </c>
      <c r="G27" s="649" t="s">
        <v>116</v>
      </c>
      <c r="H27" s="671">
        <v>0.17063727149627625</v>
      </c>
      <c r="I27" s="672">
        <v>9.0622999999999995E-2</v>
      </c>
      <c r="J27" s="673">
        <v>3.9393600000000001E-2</v>
      </c>
      <c r="K27" s="674">
        <v>2.1424499999999999E-2</v>
      </c>
      <c r="L27" s="651">
        <v>0.17157161654738598</v>
      </c>
      <c r="M27" s="651">
        <v>2.9945699999999999E-2</v>
      </c>
      <c r="N27" s="651">
        <v>5.7846300000000003E-2</v>
      </c>
      <c r="O27" s="652">
        <v>0.60468500000000003</v>
      </c>
      <c r="P27" s="671">
        <v>0.16959457039504316</v>
      </c>
      <c r="Q27" s="672">
        <v>0.15912100000000001</v>
      </c>
      <c r="R27" s="672">
        <v>5.2679200000000002E-2</v>
      </c>
      <c r="S27" s="674">
        <v>2.5241399999999998E-3</v>
      </c>
    </row>
    <row r="28" spans="1:19" x14ac:dyDescent="0.25">
      <c r="A28" s="649" t="s">
        <v>122</v>
      </c>
      <c r="B28" s="649">
        <v>11</v>
      </c>
      <c r="C28" s="649">
        <v>64031241</v>
      </c>
      <c r="D28" s="649" t="s">
        <v>23</v>
      </c>
      <c r="E28" s="649" t="s">
        <v>17</v>
      </c>
      <c r="F28" s="650" t="s">
        <v>123</v>
      </c>
      <c r="G28" s="649" t="s">
        <v>124</v>
      </c>
      <c r="H28" s="671">
        <v>6.3477488151658767E-2</v>
      </c>
      <c r="I28" s="672">
        <v>9.3824599999999994E-2</v>
      </c>
      <c r="J28" s="673">
        <v>6.0664200000000001E-2</v>
      </c>
      <c r="K28" s="674">
        <v>0.121957</v>
      </c>
      <c r="L28" s="651">
        <v>6.4732501043037322E-2</v>
      </c>
      <c r="M28" s="651">
        <v>0.19520100000000001</v>
      </c>
      <c r="N28" s="651">
        <v>8.83303E-2</v>
      </c>
      <c r="O28" s="652">
        <v>2.7116100000000001E-2</v>
      </c>
      <c r="P28" s="671">
        <v>6.2076931342000645E-2</v>
      </c>
      <c r="Q28" s="672">
        <v>-2.4825E-2</v>
      </c>
      <c r="R28" s="672">
        <v>8.1920800000000002E-2</v>
      </c>
      <c r="S28" s="674">
        <v>0.76186299999999996</v>
      </c>
    </row>
    <row r="29" spans="1:19" x14ac:dyDescent="0.25">
      <c r="A29" s="649" t="s">
        <v>127</v>
      </c>
      <c r="B29" s="649">
        <v>11</v>
      </c>
      <c r="C29" s="649">
        <v>65403651</v>
      </c>
      <c r="D29" s="649" t="s">
        <v>17</v>
      </c>
      <c r="E29" s="649" t="s">
        <v>16</v>
      </c>
      <c r="F29" s="650" t="s">
        <v>128</v>
      </c>
      <c r="G29" s="649" t="s">
        <v>129</v>
      </c>
      <c r="H29" s="671">
        <v>0.94475287745429926</v>
      </c>
      <c r="I29" s="672">
        <v>1.6058300000000001E-2</v>
      </c>
      <c r="J29" s="673">
        <v>6.4663200000000004E-2</v>
      </c>
      <c r="K29" s="674">
        <v>0.80387299999999995</v>
      </c>
      <c r="L29" s="651">
        <v>0.94451041432651883</v>
      </c>
      <c r="M29" s="651">
        <v>3.3968600000000002E-2</v>
      </c>
      <c r="N29" s="651">
        <v>9.5184900000000003E-2</v>
      </c>
      <c r="O29" s="652">
        <v>0.72119100000000003</v>
      </c>
      <c r="P29" s="671">
        <v>0.94502345904516316</v>
      </c>
      <c r="Q29" s="672">
        <v>-3.9486399999999998E-3</v>
      </c>
      <c r="R29" s="672">
        <v>8.6236199999999999E-2</v>
      </c>
      <c r="S29" s="674">
        <v>0.96347899999999997</v>
      </c>
    </row>
    <row r="30" spans="1:19" x14ac:dyDescent="0.25">
      <c r="A30" s="649" t="s">
        <v>131</v>
      </c>
      <c r="B30" s="649">
        <v>12</v>
      </c>
      <c r="C30" s="649">
        <v>48143315</v>
      </c>
      <c r="D30" s="649" t="s">
        <v>16</v>
      </c>
      <c r="E30" s="649" t="s">
        <v>24</v>
      </c>
      <c r="F30" s="650" t="s">
        <v>132</v>
      </c>
      <c r="G30" s="649" t="s">
        <v>133</v>
      </c>
      <c r="H30" s="671">
        <v>0.98881601218686521</v>
      </c>
      <c r="I30" s="672">
        <v>0.126661</v>
      </c>
      <c r="J30" s="673">
        <v>0.140351</v>
      </c>
      <c r="K30" s="674">
        <v>0.36681599999999998</v>
      </c>
      <c r="L30" s="651">
        <v>0.98868705670913704</v>
      </c>
      <c r="M30" s="651">
        <v>0.15743099999999999</v>
      </c>
      <c r="N30" s="651">
        <v>0.20529700000000001</v>
      </c>
      <c r="O30" s="652">
        <v>0.44317600000000001</v>
      </c>
      <c r="P30" s="671">
        <v>0.988959922638874</v>
      </c>
      <c r="Q30" s="672">
        <v>9.1350500000000001E-2</v>
      </c>
      <c r="R30" s="672">
        <v>0.18851999999999999</v>
      </c>
      <c r="S30" s="674">
        <v>0.62798600000000004</v>
      </c>
    </row>
    <row r="31" spans="1:19" x14ac:dyDescent="0.25">
      <c r="A31" s="649" t="s">
        <v>135</v>
      </c>
      <c r="B31" s="649">
        <v>12</v>
      </c>
      <c r="C31" s="649">
        <v>108618630</v>
      </c>
      <c r="D31" s="649" t="s">
        <v>17</v>
      </c>
      <c r="E31" s="649" t="s">
        <v>23</v>
      </c>
      <c r="F31" s="650" t="s">
        <v>136</v>
      </c>
      <c r="G31" s="649" t="s">
        <v>137</v>
      </c>
      <c r="H31" s="671">
        <v>0.73911222071767102</v>
      </c>
      <c r="I31" s="672">
        <v>0.122345</v>
      </c>
      <c r="J31" s="673">
        <v>3.3730599999999999E-2</v>
      </c>
      <c r="K31" s="674">
        <v>2.8670399999999998E-4</v>
      </c>
      <c r="L31" s="651">
        <v>0.73933694919605886</v>
      </c>
      <c r="M31" s="651">
        <v>0.12787499999999999</v>
      </c>
      <c r="N31" s="651">
        <v>4.9603099999999997E-2</v>
      </c>
      <c r="O31" s="652">
        <v>9.9408199999999995E-3</v>
      </c>
      <c r="P31" s="671">
        <v>0.7388614304645249</v>
      </c>
      <c r="Q31" s="672">
        <v>0.116143</v>
      </c>
      <c r="R31" s="672">
        <v>4.5033200000000002E-2</v>
      </c>
      <c r="S31" s="674">
        <v>9.9096600000000007E-3</v>
      </c>
    </row>
    <row r="32" spans="1:19" x14ac:dyDescent="0.25">
      <c r="A32" s="649" t="s">
        <v>139</v>
      </c>
      <c r="B32" s="649">
        <v>12</v>
      </c>
      <c r="C32" s="649">
        <v>123444507</v>
      </c>
      <c r="D32" s="649" t="s">
        <v>24</v>
      </c>
      <c r="E32" s="649" t="s">
        <v>23</v>
      </c>
      <c r="F32" s="650" t="s">
        <v>939</v>
      </c>
      <c r="G32" s="649" t="s">
        <v>140</v>
      </c>
      <c r="H32" s="671">
        <v>0.98521919431279625</v>
      </c>
      <c r="I32" s="672">
        <v>-5.0972099999999999E-2</v>
      </c>
      <c r="J32" s="673">
        <v>0.122547</v>
      </c>
      <c r="K32" s="674">
        <v>0.677454</v>
      </c>
      <c r="L32" s="651">
        <v>0.98515677653326483</v>
      </c>
      <c r="M32" s="651">
        <v>-6.0795099999999998E-2</v>
      </c>
      <c r="N32" s="651">
        <v>0.17994199999999999</v>
      </c>
      <c r="O32" s="652">
        <v>0.73546999999999996</v>
      </c>
      <c r="P32" s="671">
        <v>0.98528885068586369</v>
      </c>
      <c r="Q32" s="672">
        <v>-3.9882599999999997E-2</v>
      </c>
      <c r="R32" s="672">
        <v>0.163887</v>
      </c>
      <c r="S32" s="674">
        <v>0.80773200000000001</v>
      </c>
    </row>
    <row r="33" spans="1:19" x14ac:dyDescent="0.25">
      <c r="A33" s="649" t="s">
        <v>143</v>
      </c>
      <c r="B33" s="649">
        <v>12</v>
      </c>
      <c r="C33" s="649">
        <v>124265687</v>
      </c>
      <c r="D33" s="649" t="s">
        <v>23</v>
      </c>
      <c r="E33" s="649" t="s">
        <v>17</v>
      </c>
      <c r="F33" s="650" t="s">
        <v>940</v>
      </c>
      <c r="G33" s="649" t="s">
        <v>144</v>
      </c>
      <c r="H33" s="671">
        <v>0.39330568720379144</v>
      </c>
      <c r="I33" s="672">
        <v>-6.9210800000000003E-2</v>
      </c>
      <c r="J33" s="673">
        <v>3.0303299999999998E-2</v>
      </c>
      <c r="K33" s="674">
        <v>2.23771E-2</v>
      </c>
      <c r="L33" s="651">
        <v>0.39301646394300205</v>
      </c>
      <c r="M33" s="651">
        <v>-7.4758000000000005E-2</v>
      </c>
      <c r="N33" s="651">
        <v>4.4628599999999997E-2</v>
      </c>
      <c r="O33" s="652">
        <v>9.3917200000000006E-2</v>
      </c>
      <c r="P33" s="671">
        <v>0.39362845170301919</v>
      </c>
      <c r="Q33" s="672">
        <v>-6.3027100000000003E-2</v>
      </c>
      <c r="R33" s="672">
        <v>4.0391000000000003E-2</v>
      </c>
      <c r="S33" s="674">
        <v>0.11866599999999999</v>
      </c>
    </row>
    <row r="34" spans="1:19" x14ac:dyDescent="0.25">
      <c r="A34" s="649" t="s">
        <v>146</v>
      </c>
      <c r="B34" s="649">
        <v>12</v>
      </c>
      <c r="C34" s="649">
        <v>124330311</v>
      </c>
      <c r="D34" s="649" t="s">
        <v>17</v>
      </c>
      <c r="E34" s="649" t="s">
        <v>23</v>
      </c>
      <c r="F34" s="650" t="s">
        <v>940</v>
      </c>
      <c r="G34" s="649" t="s">
        <v>147</v>
      </c>
      <c r="H34" s="671">
        <v>0.87742890995260669</v>
      </c>
      <c r="I34" s="672">
        <v>-0.140765</v>
      </c>
      <c r="J34" s="673">
        <v>4.5052200000000001E-2</v>
      </c>
      <c r="K34" s="674">
        <v>1.7816399999999999E-3</v>
      </c>
      <c r="L34" s="651">
        <v>0.877531371353381</v>
      </c>
      <c r="M34" s="651">
        <v>-0.103126</v>
      </c>
      <c r="N34" s="651">
        <v>6.6398899999999997E-2</v>
      </c>
      <c r="O34" s="652">
        <v>0.12039900000000001</v>
      </c>
      <c r="P34" s="671">
        <v>0.87731456609720282</v>
      </c>
      <c r="Q34" s="672">
        <v>-0.18259600000000001</v>
      </c>
      <c r="R34" s="672">
        <v>5.9999299999999998E-2</v>
      </c>
      <c r="S34" s="674">
        <v>2.3410100000000001E-3</v>
      </c>
    </row>
    <row r="35" spans="1:19" x14ac:dyDescent="0.25">
      <c r="A35" s="649" t="s">
        <v>149</v>
      </c>
      <c r="B35" s="649">
        <v>12</v>
      </c>
      <c r="C35" s="649">
        <v>124427306</v>
      </c>
      <c r="D35" s="649" t="s">
        <v>23</v>
      </c>
      <c r="E35" s="649" t="s">
        <v>16</v>
      </c>
      <c r="F35" s="650" t="s">
        <v>941</v>
      </c>
      <c r="G35" s="649" t="s">
        <v>150</v>
      </c>
      <c r="H35" s="671">
        <v>0.68897257955314828</v>
      </c>
      <c r="I35" s="672">
        <v>-0.15537699999999999</v>
      </c>
      <c r="J35" s="673">
        <v>3.1895199999999999E-2</v>
      </c>
      <c r="K35" s="674">
        <v>1.10902E-6</v>
      </c>
      <c r="L35" s="651">
        <v>0.68980872300138008</v>
      </c>
      <c r="M35" s="651">
        <v>-0.126219</v>
      </c>
      <c r="N35" s="651">
        <v>4.6933700000000002E-2</v>
      </c>
      <c r="O35" s="652">
        <v>7.1621499999999999E-3</v>
      </c>
      <c r="P35" s="671">
        <v>0.68803946850041187</v>
      </c>
      <c r="Q35" s="672">
        <v>-0.18800600000000001</v>
      </c>
      <c r="R35" s="672">
        <v>4.2551800000000001E-2</v>
      </c>
      <c r="S35" s="674">
        <v>9.9673000000000003E-6</v>
      </c>
    </row>
    <row r="36" spans="1:19" x14ac:dyDescent="0.25">
      <c r="A36" s="649" t="s">
        <v>219</v>
      </c>
      <c r="B36" s="649">
        <v>14</v>
      </c>
      <c r="C36" s="649">
        <v>58838668</v>
      </c>
      <c r="D36" s="649" t="s">
        <v>16</v>
      </c>
      <c r="E36" s="649" t="s">
        <v>24</v>
      </c>
      <c r="F36" s="650" t="s">
        <v>220</v>
      </c>
      <c r="G36" s="649" t="s">
        <v>96</v>
      </c>
      <c r="H36" s="671">
        <v>0.41411264387271496</v>
      </c>
      <c r="I36" s="672">
        <v>5.3183300000000003E-2</v>
      </c>
      <c r="J36" s="673">
        <v>3.00203E-2</v>
      </c>
      <c r="K36" s="674">
        <v>7.64677E-2</v>
      </c>
      <c r="L36" s="651">
        <v>0.41369347540036594</v>
      </c>
      <c r="M36" s="651">
        <v>3.6084400000000003E-2</v>
      </c>
      <c r="N36" s="651">
        <v>4.4171099999999998E-2</v>
      </c>
      <c r="O36" s="652">
        <v>0.41397600000000001</v>
      </c>
      <c r="P36" s="671">
        <v>0.41458042333727307</v>
      </c>
      <c r="Q36" s="672">
        <v>7.2319999999999995E-2</v>
      </c>
      <c r="R36" s="672">
        <v>4.0054899999999997E-2</v>
      </c>
      <c r="S36" s="674">
        <v>7.0998400000000003E-2</v>
      </c>
    </row>
    <row r="37" spans="1:19" x14ac:dyDescent="0.25">
      <c r="A37" s="649" t="s">
        <v>152</v>
      </c>
      <c r="B37" s="649">
        <v>15</v>
      </c>
      <c r="C37" s="649">
        <v>42032383</v>
      </c>
      <c r="D37" s="649" t="s">
        <v>24</v>
      </c>
      <c r="E37" s="649" t="s">
        <v>17</v>
      </c>
      <c r="F37" s="650" t="s">
        <v>153</v>
      </c>
      <c r="G37" s="649" t="s">
        <v>154</v>
      </c>
      <c r="H37" s="671">
        <v>0.34485443466486121</v>
      </c>
      <c r="I37" s="672">
        <v>-2.64263E-2</v>
      </c>
      <c r="J37" s="673">
        <v>3.1120200000000001E-2</v>
      </c>
      <c r="K37" s="674">
        <v>0.395789</v>
      </c>
      <c r="L37" s="651">
        <v>0.34432266760807473</v>
      </c>
      <c r="M37" s="651">
        <v>7.2356299999999998E-3</v>
      </c>
      <c r="N37" s="651">
        <v>4.5849000000000001E-2</v>
      </c>
      <c r="O37" s="652">
        <v>0.87460400000000005</v>
      </c>
      <c r="P37" s="671">
        <v>0.34544787077826727</v>
      </c>
      <c r="Q37" s="672">
        <v>-6.3892400000000002E-2</v>
      </c>
      <c r="R37" s="672">
        <v>4.1461900000000003E-2</v>
      </c>
      <c r="S37" s="674">
        <v>0.123325</v>
      </c>
    </row>
    <row r="38" spans="1:19" x14ac:dyDescent="0.25">
      <c r="A38" s="649" t="s">
        <v>222</v>
      </c>
      <c r="B38" s="649">
        <v>15</v>
      </c>
      <c r="C38" s="649">
        <v>42115747</v>
      </c>
      <c r="D38" s="649" t="s">
        <v>17</v>
      </c>
      <c r="E38" s="649" t="s">
        <v>24</v>
      </c>
      <c r="F38" s="650" t="s">
        <v>223</v>
      </c>
      <c r="G38" s="649" t="s">
        <v>224</v>
      </c>
      <c r="H38" s="671">
        <v>0.33392010832769126</v>
      </c>
      <c r="I38" s="672">
        <v>-1.6379600000000001E-2</v>
      </c>
      <c r="J38" s="673">
        <v>3.1365799999999999E-2</v>
      </c>
      <c r="K38" s="674">
        <v>0.60152399999999995</v>
      </c>
      <c r="L38" s="651">
        <v>0.33378799062871078</v>
      </c>
      <c r="M38" s="651">
        <v>1.4411200000000001E-2</v>
      </c>
      <c r="N38" s="651">
        <v>4.6162300000000003E-2</v>
      </c>
      <c r="O38" s="652">
        <v>0.75490100000000004</v>
      </c>
      <c r="P38" s="671">
        <v>0.33406754772393538</v>
      </c>
      <c r="Q38" s="672">
        <v>-5.0801800000000001E-2</v>
      </c>
      <c r="R38" s="672">
        <v>4.1838100000000003E-2</v>
      </c>
      <c r="S38" s="674">
        <v>0.224658</v>
      </c>
    </row>
    <row r="39" spans="1:19" x14ac:dyDescent="0.25">
      <c r="A39" s="649" t="s">
        <v>156</v>
      </c>
      <c r="B39" s="649">
        <v>15</v>
      </c>
      <c r="C39" s="649">
        <v>56756285</v>
      </c>
      <c r="D39" s="649" t="s">
        <v>24</v>
      </c>
      <c r="E39" s="649" t="s">
        <v>23</v>
      </c>
      <c r="F39" s="650" t="s">
        <v>157</v>
      </c>
      <c r="G39" s="649" t="s">
        <v>158</v>
      </c>
      <c r="H39" s="671">
        <v>0.10488744075829384</v>
      </c>
      <c r="I39" s="672">
        <v>4.5839900000000003E-2</v>
      </c>
      <c r="J39" s="673">
        <v>4.8287200000000002E-2</v>
      </c>
      <c r="K39" s="674">
        <v>0.34246199999999999</v>
      </c>
      <c r="L39" s="651">
        <v>0.10644597066658108</v>
      </c>
      <c r="M39" s="651">
        <v>9.4464099999999995E-2</v>
      </c>
      <c r="N39" s="651">
        <v>7.0945400000000006E-2</v>
      </c>
      <c r="O39" s="652">
        <v>0.183028</v>
      </c>
      <c r="P39" s="671">
        <v>0.10314816804555711</v>
      </c>
      <c r="Q39" s="672">
        <v>-8.9123799999999993E-3</v>
      </c>
      <c r="R39" s="672">
        <v>6.4536700000000002E-2</v>
      </c>
      <c r="S39" s="674">
        <v>0.89016399999999996</v>
      </c>
    </row>
    <row r="40" spans="1:19" x14ac:dyDescent="0.25">
      <c r="A40" s="649" t="s">
        <v>161</v>
      </c>
      <c r="B40" s="649">
        <v>16</v>
      </c>
      <c r="C40" s="649">
        <v>4432029</v>
      </c>
      <c r="D40" s="649" t="s">
        <v>16</v>
      </c>
      <c r="E40" s="649" t="s">
        <v>17</v>
      </c>
      <c r="F40" s="650" t="s">
        <v>948</v>
      </c>
      <c r="G40" s="649" t="s">
        <v>162</v>
      </c>
      <c r="H40" s="671">
        <v>0.22718771157752204</v>
      </c>
      <c r="I40" s="672">
        <v>-2.17252E-2</v>
      </c>
      <c r="J40" s="673">
        <v>3.5345700000000001E-2</v>
      </c>
      <c r="K40" s="674">
        <v>0.53878700000000002</v>
      </c>
      <c r="L40" s="651">
        <v>0.22823261337013379</v>
      </c>
      <c r="M40" s="651">
        <v>-2.2385499999999999E-2</v>
      </c>
      <c r="N40" s="651">
        <v>5.1994199999999997E-2</v>
      </c>
      <c r="O40" s="652">
        <v>0.66680499999999998</v>
      </c>
      <c r="P40" s="671">
        <v>0.22602163246302065</v>
      </c>
      <c r="Q40" s="672">
        <v>-2.0986100000000001E-2</v>
      </c>
      <c r="R40" s="672">
        <v>4.7173899999999998E-2</v>
      </c>
      <c r="S40" s="674">
        <v>0.65641799999999995</v>
      </c>
    </row>
    <row r="41" spans="1:19" x14ac:dyDescent="0.25">
      <c r="A41" s="649" t="s">
        <v>164</v>
      </c>
      <c r="B41" s="649">
        <v>16</v>
      </c>
      <c r="C41" s="649">
        <v>4445327</v>
      </c>
      <c r="D41" s="649" t="s">
        <v>17</v>
      </c>
      <c r="E41" s="649" t="s">
        <v>23</v>
      </c>
      <c r="F41" s="650" t="s">
        <v>949</v>
      </c>
      <c r="G41" s="649" t="s">
        <v>165</v>
      </c>
      <c r="H41" s="671">
        <v>0.28119922139471898</v>
      </c>
      <c r="I41" s="672">
        <v>2.61145E-3</v>
      </c>
      <c r="J41" s="673">
        <v>3.2843600000000001E-2</v>
      </c>
      <c r="K41" s="674">
        <v>0.93662599999999996</v>
      </c>
      <c r="L41" s="651">
        <v>0.28197310568375111</v>
      </c>
      <c r="M41" s="651">
        <v>-5.9727799999999998E-2</v>
      </c>
      <c r="N41" s="651">
        <v>4.82999E-2</v>
      </c>
      <c r="O41" s="652">
        <v>0.21623899999999999</v>
      </c>
      <c r="P41" s="671">
        <v>0.28033558969950934</v>
      </c>
      <c r="Q41" s="672">
        <v>7.2529499999999997E-2</v>
      </c>
      <c r="R41" s="672">
        <v>4.3846400000000001E-2</v>
      </c>
      <c r="S41" s="674">
        <v>9.8098400000000002E-2</v>
      </c>
    </row>
    <row r="42" spans="1:19" x14ac:dyDescent="0.25">
      <c r="A42" s="649" t="s">
        <v>167</v>
      </c>
      <c r="B42" s="649">
        <v>16</v>
      </c>
      <c r="C42" s="649">
        <v>4484396</v>
      </c>
      <c r="D42" s="649" t="s">
        <v>16</v>
      </c>
      <c r="E42" s="649" t="s">
        <v>23</v>
      </c>
      <c r="F42" s="650" t="s">
        <v>950</v>
      </c>
      <c r="G42" s="649" t="s">
        <v>168</v>
      </c>
      <c r="H42" s="671">
        <v>0.27913845633039946</v>
      </c>
      <c r="I42" s="672">
        <v>3.8904800000000003E-2</v>
      </c>
      <c r="J42" s="673">
        <v>3.2994299999999997E-2</v>
      </c>
      <c r="K42" s="674">
        <v>0.238345</v>
      </c>
      <c r="L42" s="651">
        <v>0.28003947495105752</v>
      </c>
      <c r="M42" s="651">
        <v>-1.04171E-2</v>
      </c>
      <c r="N42" s="651">
        <v>4.8556200000000001E-2</v>
      </c>
      <c r="O42" s="652">
        <v>0.83013000000000003</v>
      </c>
      <c r="P42" s="671">
        <v>0.27813294652770315</v>
      </c>
      <c r="Q42" s="672">
        <v>9.4060699999999997E-2</v>
      </c>
      <c r="R42" s="672">
        <v>4.4012900000000001E-2</v>
      </c>
      <c r="S42" s="674">
        <v>3.2592700000000002E-2</v>
      </c>
    </row>
    <row r="43" spans="1:19" x14ac:dyDescent="0.25">
      <c r="A43" s="649" t="s">
        <v>170</v>
      </c>
      <c r="B43" s="649">
        <v>16</v>
      </c>
      <c r="C43" s="649">
        <v>67397580</v>
      </c>
      <c r="D43" s="649" t="s">
        <v>24</v>
      </c>
      <c r="E43" s="649" t="s">
        <v>17</v>
      </c>
      <c r="F43" s="650" t="s">
        <v>171</v>
      </c>
      <c r="G43" s="649" t="s">
        <v>172</v>
      </c>
      <c r="H43" s="671">
        <v>0.95629654705484091</v>
      </c>
      <c r="I43" s="672">
        <v>0.115046</v>
      </c>
      <c r="J43" s="673">
        <v>7.2455699999999998E-2</v>
      </c>
      <c r="K43" s="674">
        <v>0.112331</v>
      </c>
      <c r="L43" s="651">
        <v>0.95647325010430373</v>
      </c>
      <c r="M43" s="651">
        <v>0.10040499999999999</v>
      </c>
      <c r="N43" s="651">
        <v>0.10680099999999999</v>
      </c>
      <c r="O43" s="652">
        <v>0.34716200000000003</v>
      </c>
      <c r="P43" s="671">
        <v>0.95609935174241611</v>
      </c>
      <c r="Q43" s="672">
        <v>0.13130800000000001</v>
      </c>
      <c r="R43" s="672">
        <v>9.6481600000000001E-2</v>
      </c>
      <c r="S43" s="674">
        <v>0.17353099999999999</v>
      </c>
    </row>
    <row r="44" spans="1:19" x14ac:dyDescent="0.25">
      <c r="A44" s="649" t="s">
        <v>175</v>
      </c>
      <c r="B44" s="649">
        <v>16</v>
      </c>
      <c r="C44" s="649">
        <v>67409180</v>
      </c>
      <c r="D44" s="649" t="s">
        <v>24</v>
      </c>
      <c r="E44" s="649" t="s">
        <v>16</v>
      </c>
      <c r="F44" s="650" t="s">
        <v>171</v>
      </c>
      <c r="G44" s="649" t="s">
        <v>176</v>
      </c>
      <c r="H44" s="671">
        <v>0.95644041976980365</v>
      </c>
      <c r="I44" s="672">
        <v>0.10684299999999999</v>
      </c>
      <c r="J44" s="673">
        <v>7.2559299999999993E-2</v>
      </c>
      <c r="K44" s="674">
        <v>0.14088999999999999</v>
      </c>
      <c r="L44" s="651">
        <v>0.95660964729291698</v>
      </c>
      <c r="M44" s="651">
        <v>9.6204499999999998E-2</v>
      </c>
      <c r="N44" s="651">
        <v>0.106946</v>
      </c>
      <c r="O44" s="652">
        <v>0.36835800000000002</v>
      </c>
      <c r="P44" s="671">
        <v>0.95625156692095559</v>
      </c>
      <c r="Q44" s="672">
        <v>0.118663</v>
      </c>
      <c r="R44" s="672">
        <v>9.6627199999999996E-2</v>
      </c>
      <c r="S44" s="674">
        <v>0.21943299999999999</v>
      </c>
    </row>
    <row r="45" spans="1:19" x14ac:dyDescent="0.25">
      <c r="A45" s="649" t="s">
        <v>205</v>
      </c>
      <c r="B45" s="649">
        <v>17</v>
      </c>
      <c r="C45" s="649">
        <v>17425631</v>
      </c>
      <c r="D45" s="649" t="s">
        <v>17</v>
      </c>
      <c r="E45" s="649" t="s">
        <v>23</v>
      </c>
      <c r="F45" s="650" t="s">
        <v>206</v>
      </c>
      <c r="G45" s="649" t="s">
        <v>207</v>
      </c>
      <c r="H45" s="671">
        <v>0.52334546377792823</v>
      </c>
      <c r="I45" s="672">
        <v>-5.2944600000000001E-2</v>
      </c>
      <c r="J45" s="673">
        <v>2.9692199999999998E-2</v>
      </c>
      <c r="K45" s="674">
        <v>7.4569999999999997E-2</v>
      </c>
      <c r="L45" s="651">
        <v>0.52289868095895242</v>
      </c>
      <c r="M45" s="651">
        <v>-2.1833499999999999E-2</v>
      </c>
      <c r="N45" s="651">
        <v>4.3703699999999998E-2</v>
      </c>
      <c r="O45" s="652">
        <v>0.61737299999999995</v>
      </c>
      <c r="P45" s="671">
        <v>0.5238440600265033</v>
      </c>
      <c r="Q45" s="672">
        <v>-8.7711600000000001E-2</v>
      </c>
      <c r="R45" s="672">
        <v>3.9600900000000001E-2</v>
      </c>
      <c r="S45" s="674">
        <v>2.6771699999999999E-2</v>
      </c>
    </row>
    <row r="46" spans="1:19" x14ac:dyDescent="0.25">
      <c r="A46" s="649" t="s">
        <v>178</v>
      </c>
      <c r="B46" s="649">
        <v>19</v>
      </c>
      <c r="C46" s="649">
        <v>18285944</v>
      </c>
      <c r="D46" s="649" t="s">
        <v>16</v>
      </c>
      <c r="E46" s="649" t="s">
        <v>24</v>
      </c>
      <c r="F46" s="650" t="s">
        <v>957</v>
      </c>
      <c r="G46" s="649" t="s">
        <v>179</v>
      </c>
      <c r="H46" s="671">
        <v>0.26941435341909276</v>
      </c>
      <c r="I46" s="672">
        <v>0.17924000000000001</v>
      </c>
      <c r="J46" s="673">
        <v>3.3310800000000002E-2</v>
      </c>
      <c r="K46" s="674">
        <v>7.4282200000000001E-8</v>
      </c>
      <c r="L46" s="651">
        <v>0.2703873680156616</v>
      </c>
      <c r="M46" s="651">
        <v>0.211033</v>
      </c>
      <c r="N46" s="651">
        <v>4.9009299999999999E-2</v>
      </c>
      <c r="O46" s="652">
        <v>1.6649800000000001E-5</v>
      </c>
      <c r="P46" s="671">
        <v>0.26832849826295618</v>
      </c>
      <c r="Q46" s="672">
        <v>0.14365600000000001</v>
      </c>
      <c r="R46" s="672">
        <v>4.4449299999999997E-2</v>
      </c>
      <c r="S46" s="674">
        <v>1.2303800000000001E-3</v>
      </c>
    </row>
    <row r="47" spans="1:19" x14ac:dyDescent="0.25">
      <c r="A47" s="649" t="s">
        <v>182</v>
      </c>
      <c r="B47" s="649">
        <v>19</v>
      </c>
      <c r="C47" s="649">
        <v>18304700</v>
      </c>
      <c r="D47" s="649" t="s">
        <v>24</v>
      </c>
      <c r="E47" s="649" t="s">
        <v>16</v>
      </c>
      <c r="F47" s="650" t="s">
        <v>958</v>
      </c>
      <c r="G47" s="649" t="s">
        <v>183</v>
      </c>
      <c r="H47" s="671">
        <v>0.28576506431956666</v>
      </c>
      <c r="I47" s="672">
        <v>0.17145199999999999</v>
      </c>
      <c r="J47" s="673">
        <v>3.2743700000000001E-2</v>
      </c>
      <c r="K47" s="674">
        <v>1.6420700000000001E-7</v>
      </c>
      <c r="L47" s="651">
        <v>0.28624153535094193</v>
      </c>
      <c r="M47" s="651">
        <v>0.20661599999999999</v>
      </c>
      <c r="N47" s="651">
        <v>4.8221600000000003E-2</v>
      </c>
      <c r="O47" s="652">
        <v>1.8325199999999999E-5</v>
      </c>
      <c r="P47" s="671">
        <v>0.28523333691486696</v>
      </c>
      <c r="Q47" s="672">
        <v>0.13225600000000001</v>
      </c>
      <c r="R47" s="672">
        <v>4.3645099999999999E-2</v>
      </c>
      <c r="S47" s="674">
        <v>2.4445700000000001E-3</v>
      </c>
    </row>
    <row r="48" spans="1:19" x14ac:dyDescent="0.25">
      <c r="A48" s="649" t="s">
        <v>185</v>
      </c>
      <c r="B48" s="649">
        <v>19</v>
      </c>
      <c r="C48" s="649">
        <v>49232226</v>
      </c>
      <c r="D48" s="649" t="s">
        <v>16</v>
      </c>
      <c r="E48" s="649" t="s">
        <v>24</v>
      </c>
      <c r="F48" s="650" t="s">
        <v>186</v>
      </c>
      <c r="G48" s="649" t="s">
        <v>187</v>
      </c>
      <c r="H48" s="671">
        <v>0.53653943805010151</v>
      </c>
      <c r="I48" s="672">
        <v>-5.69881E-2</v>
      </c>
      <c r="J48" s="673">
        <v>2.96879E-2</v>
      </c>
      <c r="K48" s="674">
        <v>5.4914400000000002E-2</v>
      </c>
      <c r="L48" s="651">
        <v>0.53848005391700637</v>
      </c>
      <c r="M48" s="651">
        <v>-4.2374599999999998E-2</v>
      </c>
      <c r="N48" s="651">
        <v>4.3749000000000003E-2</v>
      </c>
      <c r="O48" s="652">
        <v>0.332756</v>
      </c>
      <c r="P48" s="671">
        <v>0.53437376884782062</v>
      </c>
      <c r="Q48" s="672">
        <v>-7.3242399999999999E-2</v>
      </c>
      <c r="R48" s="672">
        <v>3.9544999999999997E-2</v>
      </c>
      <c r="S48" s="674">
        <v>6.4012899999999998E-2</v>
      </c>
    </row>
    <row r="49" spans="1:41" x14ac:dyDescent="0.25">
      <c r="A49" s="649" t="s">
        <v>189</v>
      </c>
      <c r="B49" s="649">
        <v>19</v>
      </c>
      <c r="C49" s="649">
        <v>49244220</v>
      </c>
      <c r="D49" s="649" t="s">
        <v>24</v>
      </c>
      <c r="E49" s="649" t="s">
        <v>16</v>
      </c>
      <c r="F49" s="650" t="s">
        <v>190</v>
      </c>
      <c r="G49" s="649" t="s">
        <v>191</v>
      </c>
      <c r="H49" s="671">
        <v>0.57220717670954635</v>
      </c>
      <c r="I49" s="672">
        <v>-0.112428</v>
      </c>
      <c r="J49" s="673">
        <v>2.9871100000000001E-2</v>
      </c>
      <c r="K49" s="674">
        <v>1.67441E-4</v>
      </c>
      <c r="L49" s="651">
        <v>0.57443274816264966</v>
      </c>
      <c r="M49" s="651">
        <v>-9.9843500000000002E-2</v>
      </c>
      <c r="N49" s="651">
        <v>4.40358E-2</v>
      </c>
      <c r="O49" s="652">
        <v>2.33739E-2</v>
      </c>
      <c r="P49" s="671">
        <v>0.5697235056051001</v>
      </c>
      <c r="Q49" s="672">
        <v>-0.126412</v>
      </c>
      <c r="R49" s="672">
        <v>3.9772500000000002E-2</v>
      </c>
      <c r="S49" s="674">
        <v>1.4818100000000001E-3</v>
      </c>
    </row>
    <row r="50" spans="1:41" x14ac:dyDescent="0.25">
      <c r="A50" s="649" t="s">
        <v>193</v>
      </c>
      <c r="B50" s="649">
        <v>20</v>
      </c>
      <c r="C50" s="649">
        <v>33971914</v>
      </c>
      <c r="D50" s="649" t="s">
        <v>23</v>
      </c>
      <c r="E50" s="649" t="s">
        <v>17</v>
      </c>
      <c r="F50" s="650" t="s">
        <v>265</v>
      </c>
      <c r="G50" s="649" t="s">
        <v>194</v>
      </c>
      <c r="H50" s="671">
        <v>0.63249830737982393</v>
      </c>
      <c r="I50" s="672">
        <v>-2.52835E-2</v>
      </c>
      <c r="J50" s="673">
        <v>3.0604800000000001E-2</v>
      </c>
      <c r="K50" s="674">
        <v>0.40873300000000001</v>
      </c>
      <c r="L50" s="651">
        <v>0.63479251580602714</v>
      </c>
      <c r="M50" s="651">
        <v>-0.128187</v>
      </c>
      <c r="N50" s="651">
        <v>4.5228299999999999E-2</v>
      </c>
      <c r="O50" s="652">
        <v>4.5953399999999998E-3</v>
      </c>
      <c r="P50" s="671">
        <v>0.62993803946850047</v>
      </c>
      <c r="Q50" s="672">
        <v>8.7754200000000004E-2</v>
      </c>
      <c r="R50" s="672">
        <v>4.0635200000000003E-2</v>
      </c>
      <c r="S50" s="674">
        <v>3.0810899999999999E-2</v>
      </c>
    </row>
    <row r="51" spans="1:41" x14ac:dyDescent="0.25">
      <c r="A51" s="675" t="s">
        <v>197</v>
      </c>
      <c r="B51" s="675">
        <v>20</v>
      </c>
      <c r="C51" s="675">
        <v>34022387</v>
      </c>
      <c r="D51" s="675" t="s">
        <v>16</v>
      </c>
      <c r="E51" s="675" t="s">
        <v>17</v>
      </c>
      <c r="F51" s="676" t="s">
        <v>959</v>
      </c>
      <c r="G51" s="675" t="s">
        <v>198</v>
      </c>
      <c r="H51" s="677">
        <v>0.65896877115775221</v>
      </c>
      <c r="I51" s="678">
        <v>-4.4716899999999997E-2</v>
      </c>
      <c r="J51" s="679">
        <v>3.11612E-2</v>
      </c>
      <c r="K51" s="680">
        <v>0.151284</v>
      </c>
      <c r="L51" s="678">
        <v>0.6613126223563015</v>
      </c>
      <c r="M51" s="678">
        <v>-0.15414</v>
      </c>
      <c r="N51" s="678">
        <v>4.6026400000000002E-2</v>
      </c>
      <c r="O51" s="681">
        <v>8.1169499999999997E-4</v>
      </c>
      <c r="P51" s="677">
        <v>0.65635381970559803</v>
      </c>
      <c r="Q51" s="678">
        <v>7.5736499999999998E-2</v>
      </c>
      <c r="R51" s="678">
        <v>4.1397900000000001E-2</v>
      </c>
      <c r="S51" s="680">
        <v>6.7333299999999999E-2</v>
      </c>
    </row>
    <row r="52" spans="1:41" s="668" customFormat="1" ht="27.75" customHeight="1" x14ac:dyDescent="0.25">
      <c r="A52" s="1425" t="s">
        <v>225</v>
      </c>
      <c r="B52" s="1425"/>
      <c r="C52" s="1425"/>
      <c r="D52" s="1425"/>
      <c r="E52" s="1425"/>
      <c r="F52" s="1425"/>
      <c r="G52" s="1425"/>
      <c r="H52" s="1425"/>
      <c r="I52" s="1425"/>
      <c r="J52" s="1425"/>
      <c r="K52" s="1425"/>
      <c r="L52" s="1425"/>
      <c r="M52" s="1425"/>
      <c r="N52" s="1425"/>
      <c r="O52" s="1425"/>
      <c r="P52" s="1425"/>
      <c r="Q52" s="1425"/>
      <c r="R52" s="1425"/>
      <c r="S52" s="1425"/>
      <c r="T52" s="669"/>
      <c r="U52" s="669"/>
      <c r="V52" s="669"/>
      <c r="W52" s="670"/>
      <c r="X52" s="670"/>
      <c r="Y52" s="669"/>
      <c r="Z52" s="669"/>
      <c r="AA52" s="669"/>
      <c r="AB52" s="670"/>
      <c r="AC52" s="670"/>
      <c r="AD52" s="670"/>
      <c r="AE52" s="669"/>
      <c r="AF52" s="669"/>
      <c r="AG52" s="669"/>
      <c r="AH52" s="670"/>
      <c r="AK52" s="670"/>
      <c r="AM52" s="669"/>
      <c r="AN52" s="669"/>
      <c r="AO52" s="669"/>
    </row>
    <row r="53" spans="1:41" s="668" customFormat="1" x14ac:dyDescent="0.25">
      <c r="A53" s="383" t="s">
        <v>2062</v>
      </c>
      <c r="F53" s="382"/>
      <c r="G53" s="382"/>
      <c r="H53" s="669"/>
      <c r="I53" s="669"/>
      <c r="J53" s="669"/>
      <c r="K53" s="670"/>
      <c r="L53" s="669"/>
      <c r="M53" s="669"/>
      <c r="N53" s="669"/>
      <c r="O53" s="670"/>
      <c r="P53" s="669"/>
      <c r="Q53" s="669"/>
      <c r="R53" s="669"/>
      <c r="S53" s="670"/>
      <c r="T53" s="669"/>
      <c r="U53" s="669"/>
      <c r="V53" s="669"/>
      <c r="W53" s="670"/>
      <c r="X53" s="670"/>
      <c r="Y53" s="669"/>
      <c r="Z53" s="669"/>
      <c r="AA53" s="669"/>
      <c r="AB53" s="670"/>
      <c r="AC53" s="670"/>
      <c r="AD53" s="670"/>
      <c r="AE53" s="669"/>
      <c r="AF53" s="669"/>
      <c r="AG53" s="669"/>
      <c r="AH53" s="670"/>
      <c r="AK53" s="670"/>
      <c r="AM53" s="669"/>
      <c r="AN53" s="669"/>
      <c r="AO53" s="669"/>
    </row>
    <row r="54" spans="1:41" s="668" customFormat="1" x14ac:dyDescent="0.25">
      <c r="A54" s="383" t="s">
        <v>2063</v>
      </c>
      <c r="F54" s="382"/>
      <c r="G54" s="382"/>
      <c r="H54" s="669"/>
      <c r="I54" s="669"/>
      <c r="J54" s="669"/>
      <c r="K54" s="670"/>
      <c r="L54" s="669"/>
      <c r="M54" s="669"/>
      <c r="N54" s="669"/>
      <c r="O54" s="670"/>
      <c r="P54" s="669"/>
      <c r="Q54" s="669"/>
      <c r="R54" s="669"/>
      <c r="S54" s="670"/>
      <c r="T54" s="669"/>
      <c r="U54" s="669"/>
      <c r="V54" s="669"/>
      <c r="W54" s="670"/>
      <c r="X54" s="670"/>
      <c r="Y54" s="669"/>
      <c r="Z54" s="669"/>
      <c r="AA54" s="669"/>
      <c r="AB54" s="670"/>
      <c r="AC54" s="670"/>
      <c r="AD54" s="670"/>
      <c r="AE54" s="669"/>
      <c r="AF54" s="669"/>
      <c r="AG54" s="669"/>
      <c r="AH54" s="670"/>
      <c r="AK54" s="670"/>
      <c r="AM54" s="669"/>
      <c r="AN54" s="669"/>
      <c r="AO54" s="669"/>
    </row>
    <row r="55" spans="1:41" s="668" customFormat="1" ht="30" customHeight="1" x14ac:dyDescent="0.25">
      <c r="A55" s="1437" t="s">
        <v>228</v>
      </c>
      <c r="B55" s="1437"/>
      <c r="C55" s="1437"/>
      <c r="D55" s="1437"/>
      <c r="E55" s="1437"/>
      <c r="F55" s="1437"/>
      <c r="G55" s="1437"/>
      <c r="H55" s="1437"/>
      <c r="I55" s="1437"/>
      <c r="J55" s="1437"/>
      <c r="K55" s="1437"/>
      <c r="L55" s="1437"/>
      <c r="M55" s="1437"/>
      <c r="N55" s="1437"/>
      <c r="O55" s="1437"/>
      <c r="P55" s="1437"/>
      <c r="Q55" s="1437"/>
      <c r="R55" s="1437"/>
      <c r="S55" s="1437"/>
      <c r="T55" s="669"/>
      <c r="U55" s="669"/>
      <c r="V55" s="669"/>
      <c r="W55" s="670"/>
      <c r="X55" s="670"/>
      <c r="Y55" s="669"/>
      <c r="Z55" s="669"/>
      <c r="AA55" s="669"/>
      <c r="AB55" s="670"/>
      <c r="AC55" s="670"/>
      <c r="AD55" s="670"/>
      <c r="AE55" s="669"/>
      <c r="AF55" s="669"/>
      <c r="AG55" s="669"/>
      <c r="AH55" s="670"/>
      <c r="AK55" s="670"/>
      <c r="AM55" s="669"/>
      <c r="AN55" s="669"/>
      <c r="AO55" s="669"/>
    </row>
    <row r="56" spans="1:41" s="668" customFormat="1" x14ac:dyDescent="0.25">
      <c r="A56" s="385" t="s">
        <v>996</v>
      </c>
      <c r="F56" s="382"/>
      <c r="G56" s="382"/>
      <c r="H56" s="669"/>
      <c r="I56" s="669"/>
      <c r="J56" s="669"/>
      <c r="K56" s="670"/>
      <c r="L56" s="669"/>
      <c r="M56" s="669"/>
      <c r="N56" s="669"/>
      <c r="O56" s="670"/>
      <c r="P56" s="669"/>
      <c r="Q56" s="669"/>
      <c r="R56" s="669"/>
      <c r="S56" s="670"/>
      <c r="T56" s="669"/>
      <c r="U56" s="669"/>
      <c r="V56" s="669"/>
      <c r="W56" s="670"/>
      <c r="X56" s="670"/>
      <c r="Y56" s="669"/>
      <c r="Z56" s="669"/>
      <c r="AA56" s="669"/>
      <c r="AB56" s="670"/>
      <c r="AC56" s="670"/>
      <c r="AD56" s="670"/>
      <c r="AE56" s="669"/>
      <c r="AF56" s="669"/>
      <c r="AG56" s="669"/>
      <c r="AH56" s="670"/>
      <c r="AK56" s="670"/>
      <c r="AM56" s="669"/>
      <c r="AN56" s="669"/>
      <c r="AO56" s="669"/>
    </row>
    <row r="57" spans="1:41" x14ac:dyDescent="0.25">
      <c r="A57" s="160" t="s">
        <v>5283</v>
      </c>
    </row>
  </sheetData>
  <mergeCells count="12">
    <mergeCell ref="A1:S1"/>
    <mergeCell ref="A52:S52"/>
    <mergeCell ref="A55:S55"/>
    <mergeCell ref="H2:K2"/>
    <mergeCell ref="L2:O2"/>
    <mergeCell ref="P2:S2"/>
    <mergeCell ref="A2:A3"/>
    <mergeCell ref="B2:B3"/>
    <mergeCell ref="C2:C3"/>
    <mergeCell ref="D2:E2"/>
    <mergeCell ref="F2:F3"/>
    <mergeCell ref="G2:G3"/>
  </mergeCells>
  <phoneticPr fontId="101" type="noConversion"/>
  <conditionalFormatting sqref="K2 K4:K51 K58:K1048576">
    <cfRule type="cellIs" dxfId="17" priority="23" operator="lessThan">
      <formula>0.001</formula>
    </cfRule>
  </conditionalFormatting>
  <conditionalFormatting sqref="O2 O4:O51 O58:O1048576">
    <cfRule type="cellIs" dxfId="16" priority="22" operator="lessThan">
      <formula>0.001</formula>
    </cfRule>
  </conditionalFormatting>
  <conditionalFormatting sqref="S2 S4:S51 S58:S1048576">
    <cfRule type="cellIs" dxfId="15" priority="21" operator="lessThan">
      <formula>0.001</formula>
    </cfRule>
  </conditionalFormatting>
  <conditionalFormatting sqref="H2:H51 H58:H1048576">
    <cfRule type="cellIs" dxfId="14" priority="19" operator="lessThan">
      <formula>0.05</formula>
    </cfRule>
    <cfRule type="cellIs" dxfId="13" priority="20" operator="greaterThan">
      <formula>0.95</formula>
    </cfRule>
  </conditionalFormatting>
  <conditionalFormatting sqref="K53:K54 K56:K57">
    <cfRule type="cellIs" dxfId="12" priority="11" operator="lessThan">
      <formula>0.001</formula>
    </cfRule>
  </conditionalFormatting>
  <conditionalFormatting sqref="O53:O54 O56:O57">
    <cfRule type="cellIs" dxfId="11" priority="10" operator="lessThan">
      <formula>0.001</formula>
    </cfRule>
  </conditionalFormatting>
  <conditionalFormatting sqref="S53:S54 S56:S57">
    <cfRule type="cellIs" dxfId="10" priority="9" operator="lessThan">
      <formula>0.001</formula>
    </cfRule>
  </conditionalFormatting>
  <conditionalFormatting sqref="H53:H54 H56:H57">
    <cfRule type="cellIs" dxfId="9" priority="7" operator="lessThan">
      <formula>0.05</formula>
    </cfRule>
    <cfRule type="cellIs" dxfId="8" priority="8" operator="greaterThan">
      <formula>0.95</formula>
    </cfRule>
  </conditionalFormatting>
  <conditionalFormatting sqref="S3">
    <cfRule type="cellIs" dxfId="7" priority="5" operator="lessThan">
      <formula>0.00098</formula>
    </cfRule>
    <cfRule type="cellIs" dxfId="6" priority="6" operator="lessThan">
      <formula>0.00002</formula>
    </cfRule>
  </conditionalFormatting>
  <conditionalFormatting sqref="O3">
    <cfRule type="cellIs" dxfId="5" priority="3" operator="lessThan">
      <formula>0.00098</formula>
    </cfRule>
    <cfRule type="cellIs" dxfId="4" priority="4" operator="lessThan">
      <formula>0.00002</formula>
    </cfRule>
  </conditionalFormatting>
  <conditionalFormatting sqref="K3">
    <cfRule type="cellIs" dxfId="3" priority="1" operator="lessThan">
      <formula>0.00098</formula>
    </cfRule>
    <cfRule type="cellIs" dxfId="2" priority="2" operator="lessThan">
      <formula>0.00002</formula>
    </cfRule>
  </conditionalFormatting>
  <pageMargins left="0.5" right="0.5" top="0.5" bottom="0.5" header="0.05" footer="0.05"/>
  <pageSetup scale="77" fitToHeight="0" orientation="landscape" horizontalDpi="1200" verticalDpi="1200"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211"/>
  <sheetViews>
    <sheetView zoomScale="85" zoomScaleNormal="85" workbookViewId="0">
      <selection activeCell="H8" sqref="H8"/>
    </sheetView>
  </sheetViews>
  <sheetFormatPr defaultColWidth="50.7109375" defaultRowHeight="15" x14ac:dyDescent="0.25"/>
  <cols>
    <col min="1" max="1" width="5" style="1166" bestFit="1" customWidth="1"/>
    <col min="2" max="2" width="15" style="1166" customWidth="1"/>
    <col min="3" max="3" width="14.28515625" style="1166" bestFit="1" customWidth="1"/>
    <col min="4" max="4" width="13.28515625" style="1166" bestFit="1" customWidth="1"/>
    <col min="5" max="5" width="12" style="1166" customWidth="1"/>
    <col min="6" max="6" width="15.7109375" style="1166" customWidth="1"/>
    <col min="7" max="7" width="15.85546875" style="1166" customWidth="1"/>
    <col min="8" max="8" width="35.28515625" style="49" bestFit="1" customWidth="1"/>
    <col min="9" max="9" width="10.7109375" style="1166" bestFit="1" customWidth="1"/>
    <col min="10" max="10" width="13.28515625" style="1166" bestFit="1" customWidth="1"/>
    <col min="11" max="11" width="39.140625" style="1166" bestFit="1" customWidth="1"/>
    <col min="12" max="12" width="39.7109375" style="1166" bestFit="1" customWidth="1"/>
    <col min="13" max="13" width="9.7109375" style="1167" bestFit="1" customWidth="1"/>
    <col min="14" max="14" width="8.7109375" style="1166" bestFit="1" customWidth="1"/>
    <col min="15" max="15" width="19" style="1166" customWidth="1"/>
    <col min="16" max="16" width="28.140625" style="1166" bestFit="1" customWidth="1"/>
    <col min="17" max="17" width="11.140625" style="1166" bestFit="1" customWidth="1"/>
    <col min="18" max="18" width="11.28515625" style="1166" bestFit="1" customWidth="1"/>
    <col min="19" max="19" width="20.7109375" style="1166" bestFit="1" customWidth="1"/>
    <col min="20" max="20" width="13.85546875" style="1166" bestFit="1" customWidth="1"/>
    <col min="21" max="21" width="50.7109375" style="1166"/>
    <col min="22" max="22" width="17.7109375" style="1166" bestFit="1" customWidth="1"/>
    <col min="23" max="16384" width="50.7109375" style="1166"/>
  </cols>
  <sheetData>
    <row r="1" spans="1:20" ht="28.5" customHeight="1" x14ac:dyDescent="0.25">
      <c r="A1" s="1441" t="s">
        <v>5902</v>
      </c>
      <c r="B1" s="1441"/>
      <c r="C1" s="1441"/>
      <c r="D1" s="1441"/>
      <c r="E1" s="1441"/>
      <c r="F1" s="1441"/>
      <c r="G1" s="1441"/>
      <c r="H1" s="1441"/>
      <c r="I1" s="1441"/>
      <c r="J1" s="1441"/>
      <c r="K1" s="1441"/>
      <c r="L1" s="1441"/>
      <c r="M1" s="1441"/>
      <c r="N1" s="1441"/>
      <c r="O1" s="1441"/>
      <c r="P1" s="1441"/>
      <c r="Q1" s="1441"/>
      <c r="R1" s="1441"/>
      <c r="S1" s="1441"/>
      <c r="T1" s="1441"/>
    </row>
    <row r="2" spans="1:20" s="1200" customFormat="1" ht="75" customHeight="1" thickBot="1" x14ac:dyDescent="0.3">
      <c r="A2" s="1165" t="s">
        <v>891</v>
      </c>
      <c r="B2" s="1165" t="s">
        <v>5901</v>
      </c>
      <c r="C2" s="1165" t="s">
        <v>5900</v>
      </c>
      <c r="D2" s="1165" t="s">
        <v>5899</v>
      </c>
      <c r="E2" s="1165" t="s">
        <v>5898</v>
      </c>
      <c r="F2" s="1165" t="s">
        <v>5897</v>
      </c>
      <c r="G2" s="1165" t="s">
        <v>5896</v>
      </c>
      <c r="H2" s="1165" t="s">
        <v>5895</v>
      </c>
      <c r="I2" s="1165" t="s">
        <v>5894</v>
      </c>
      <c r="J2" s="1165" t="s">
        <v>5893</v>
      </c>
      <c r="K2" s="1165" t="s">
        <v>5892</v>
      </c>
      <c r="L2" s="1165" t="s">
        <v>5891</v>
      </c>
      <c r="M2" s="1201" t="s">
        <v>5890</v>
      </c>
      <c r="N2" s="1165" t="s">
        <v>5889</v>
      </c>
      <c r="O2" s="1165" t="s">
        <v>241</v>
      </c>
      <c r="P2" s="1165" t="s">
        <v>5888</v>
      </c>
      <c r="Q2" s="1165" t="s">
        <v>5887</v>
      </c>
      <c r="R2" s="1165" t="s">
        <v>5886</v>
      </c>
      <c r="S2" s="1147" t="s">
        <v>5885</v>
      </c>
      <c r="T2" s="1147" t="s">
        <v>5884</v>
      </c>
    </row>
    <row r="3" spans="1:20" ht="15.75" thickTop="1" x14ac:dyDescent="0.25">
      <c r="A3" s="1442">
        <v>2</v>
      </c>
      <c r="B3" s="1442" t="s">
        <v>37</v>
      </c>
      <c r="C3" s="1442">
        <v>165551201</v>
      </c>
      <c r="D3" s="1445" t="s">
        <v>38</v>
      </c>
      <c r="E3" s="1448">
        <v>0.87909999999999999</v>
      </c>
      <c r="F3" s="1196" t="s">
        <v>5882</v>
      </c>
      <c r="G3" s="1196">
        <v>165501849</v>
      </c>
      <c r="H3" s="1199" t="s">
        <v>5881</v>
      </c>
      <c r="I3" s="1196">
        <v>0.21959899999999999</v>
      </c>
      <c r="J3" s="1196">
        <v>-49352</v>
      </c>
      <c r="K3" s="1196" t="s">
        <v>5880</v>
      </c>
      <c r="L3" s="1196" t="s">
        <v>5883</v>
      </c>
      <c r="M3" s="1198">
        <f>5561+14458+13170+25398</f>
        <v>58587</v>
      </c>
      <c r="N3" s="1196" t="s">
        <v>16</v>
      </c>
      <c r="O3" s="1196">
        <v>0.74</v>
      </c>
      <c r="P3" s="1196" t="s">
        <v>5708</v>
      </c>
      <c r="Q3" s="1197">
        <v>1E-8</v>
      </c>
      <c r="R3" s="1196">
        <v>1.0900000000000001</v>
      </c>
      <c r="S3" s="1196" t="s">
        <v>1065</v>
      </c>
      <c r="T3" s="1195">
        <v>21874001</v>
      </c>
    </row>
    <row r="4" spans="1:20" ht="30" x14ac:dyDescent="0.25">
      <c r="A4" s="1443"/>
      <c r="B4" s="1443"/>
      <c r="C4" s="1443"/>
      <c r="D4" s="1446"/>
      <c r="E4" s="1449"/>
      <c r="F4" s="1174" t="s">
        <v>5882</v>
      </c>
      <c r="G4" s="1174">
        <v>165501849</v>
      </c>
      <c r="H4" s="1148" t="s">
        <v>5881</v>
      </c>
      <c r="I4" s="1174">
        <v>0.21959899999999999</v>
      </c>
      <c r="J4" s="1174">
        <v>-49352</v>
      </c>
      <c r="K4" s="1174" t="s">
        <v>5880</v>
      </c>
      <c r="L4" s="1174" t="s">
        <v>5879</v>
      </c>
      <c r="M4" s="1176">
        <f>12171+56862+6952+11865+5561+14458+1804+779+21491+55647</f>
        <v>187590</v>
      </c>
      <c r="N4" s="1174" t="s">
        <v>16</v>
      </c>
      <c r="O4" s="1174">
        <v>0.61</v>
      </c>
      <c r="P4" s="1174" t="s">
        <v>5708</v>
      </c>
      <c r="Q4" s="1175">
        <v>1.9999999999999999E-6</v>
      </c>
      <c r="R4" s="1174">
        <v>1.04</v>
      </c>
      <c r="S4" s="1174" t="s">
        <v>1065</v>
      </c>
      <c r="T4" s="1173">
        <v>24509480</v>
      </c>
    </row>
    <row r="5" spans="1:20" x14ac:dyDescent="0.25">
      <c r="A5" s="1443"/>
      <c r="B5" s="1443"/>
      <c r="C5" s="1443"/>
      <c r="D5" s="1446"/>
      <c r="E5" s="1449"/>
      <c r="F5" s="1174" t="s">
        <v>1012</v>
      </c>
      <c r="G5" s="1174">
        <v>165513091</v>
      </c>
      <c r="H5" s="1148" t="s">
        <v>5878</v>
      </c>
      <c r="I5" s="1174">
        <v>0.20544599999999999</v>
      </c>
      <c r="J5" s="1174">
        <v>-38110</v>
      </c>
      <c r="K5" s="1174" t="s">
        <v>2001</v>
      </c>
      <c r="L5" s="1174" t="s">
        <v>5783</v>
      </c>
      <c r="M5" s="1176">
        <f>96598</f>
        <v>96598</v>
      </c>
      <c r="N5" s="1174" t="s">
        <v>17</v>
      </c>
      <c r="O5" s="1174">
        <v>0.4</v>
      </c>
      <c r="P5" s="1174" t="s">
        <v>3172</v>
      </c>
      <c r="Q5" s="1175">
        <v>2.0000000000000001E-10</v>
      </c>
      <c r="R5" s="1174">
        <v>-2.0099999999999998</v>
      </c>
      <c r="S5" s="1174" t="s">
        <v>1065</v>
      </c>
      <c r="T5" s="1173">
        <v>20686565</v>
      </c>
    </row>
    <row r="6" spans="1:20" ht="30" x14ac:dyDescent="0.25">
      <c r="A6" s="1443"/>
      <c r="B6" s="1443"/>
      <c r="C6" s="1443"/>
      <c r="D6" s="1446"/>
      <c r="E6" s="1449"/>
      <c r="F6" s="1174" t="s">
        <v>5877</v>
      </c>
      <c r="G6" s="1174">
        <v>165539661</v>
      </c>
      <c r="H6" s="1148" t="s">
        <v>38</v>
      </c>
      <c r="I6" s="1174">
        <v>0.207816</v>
      </c>
      <c r="J6" s="1174">
        <v>-11540</v>
      </c>
      <c r="K6" s="1174" t="s">
        <v>5876</v>
      </c>
      <c r="L6" s="1174" t="s">
        <v>289</v>
      </c>
      <c r="M6" s="1176">
        <f>60586+73137+62395+74657</f>
        <v>270775</v>
      </c>
      <c r="N6" s="1174" t="s">
        <v>23</v>
      </c>
      <c r="O6" s="1174" t="s">
        <v>5639</v>
      </c>
      <c r="P6" s="1174" t="s">
        <v>5670</v>
      </c>
      <c r="Q6" s="1175">
        <v>5.9999999999999999E-16</v>
      </c>
      <c r="R6" s="1174" t="s">
        <v>5639</v>
      </c>
      <c r="S6" s="1182" t="s">
        <v>35</v>
      </c>
      <c r="T6" s="1173">
        <v>23754948</v>
      </c>
    </row>
    <row r="7" spans="1:20" x14ac:dyDescent="0.25">
      <c r="A7" s="1443"/>
      <c r="B7" s="1443"/>
      <c r="C7" s="1443"/>
      <c r="D7" s="1446"/>
      <c r="E7" s="1449"/>
      <c r="F7" s="1174" t="s">
        <v>5875</v>
      </c>
      <c r="G7" s="1174">
        <v>165540800</v>
      </c>
      <c r="H7" s="1148" t="s">
        <v>38</v>
      </c>
      <c r="I7" s="1174">
        <v>0.97986700000000004</v>
      </c>
      <c r="J7" s="1174">
        <v>-10401</v>
      </c>
      <c r="K7" s="1174" t="s">
        <v>5707</v>
      </c>
      <c r="L7" s="1174" t="s">
        <v>289</v>
      </c>
      <c r="M7" s="1176">
        <f>99900</f>
        <v>99900</v>
      </c>
      <c r="N7" s="1174" t="s">
        <v>17</v>
      </c>
      <c r="O7" s="1174">
        <v>0.13</v>
      </c>
      <c r="P7" s="1174" t="s">
        <v>5670</v>
      </c>
      <c r="Q7" s="1175">
        <v>3E-10</v>
      </c>
      <c r="R7" s="1174">
        <v>0.68</v>
      </c>
      <c r="S7" s="1174" t="s">
        <v>7</v>
      </c>
      <c r="T7" s="1173">
        <v>20686565</v>
      </c>
    </row>
    <row r="8" spans="1:20" x14ac:dyDescent="0.25">
      <c r="A8" s="1443"/>
      <c r="B8" s="1443"/>
      <c r="C8" s="1443"/>
      <c r="D8" s="1446"/>
      <c r="E8" s="1449"/>
      <c r="F8" s="1174" t="s">
        <v>5875</v>
      </c>
      <c r="G8" s="1174">
        <v>165540800</v>
      </c>
      <c r="H8" s="1148" t="s">
        <v>38</v>
      </c>
      <c r="I8" s="1174">
        <v>0.97986700000000004</v>
      </c>
      <c r="J8" s="1174">
        <v>-10401</v>
      </c>
      <c r="K8" s="1174" t="s">
        <v>5707</v>
      </c>
      <c r="L8" s="1174" t="s">
        <v>289</v>
      </c>
      <c r="M8" s="1176">
        <f>94595+93982</f>
        <v>188577</v>
      </c>
      <c r="N8" s="1174" t="s">
        <v>17</v>
      </c>
      <c r="O8" s="1174">
        <v>0.13</v>
      </c>
      <c r="P8" s="1174" t="s">
        <v>5670</v>
      </c>
      <c r="Q8" s="1175">
        <v>2.0000000000000002E-15</v>
      </c>
      <c r="R8" s="1174">
        <v>4.4999999999999998E-2</v>
      </c>
      <c r="S8" s="1174" t="s">
        <v>7</v>
      </c>
      <c r="T8" s="1173">
        <v>24097068</v>
      </c>
    </row>
    <row r="9" spans="1:20" ht="30" x14ac:dyDescent="0.25">
      <c r="A9" s="1443"/>
      <c r="B9" s="1443"/>
      <c r="C9" s="1443"/>
      <c r="D9" s="1446"/>
      <c r="E9" s="1449"/>
      <c r="F9" s="1174" t="s">
        <v>37</v>
      </c>
      <c r="G9" s="1174">
        <v>165551201</v>
      </c>
      <c r="H9" s="1148" t="s">
        <v>38</v>
      </c>
      <c r="I9" s="1174">
        <v>1</v>
      </c>
      <c r="J9" s="1174">
        <v>0</v>
      </c>
      <c r="K9" s="1174" t="s">
        <v>5874</v>
      </c>
      <c r="L9" s="1174" t="s">
        <v>289</v>
      </c>
      <c r="M9" s="1176">
        <f>51750+33823</f>
        <v>85573</v>
      </c>
      <c r="N9" s="1174" t="s">
        <v>5639</v>
      </c>
      <c r="O9" s="1174" t="s">
        <v>5639</v>
      </c>
      <c r="P9" s="1174" t="s">
        <v>2980</v>
      </c>
      <c r="Q9" s="1175">
        <v>3.9999999999999998E-20</v>
      </c>
      <c r="R9" s="1174" t="s">
        <v>5639</v>
      </c>
      <c r="S9" s="1182" t="s">
        <v>35</v>
      </c>
      <c r="T9" s="1173">
        <v>22581228</v>
      </c>
    </row>
    <row r="10" spans="1:20" ht="30" x14ac:dyDescent="0.25">
      <c r="A10" s="1444"/>
      <c r="B10" s="1444"/>
      <c r="C10" s="1444"/>
      <c r="D10" s="1447"/>
      <c r="E10" s="1450"/>
      <c r="F10" s="1170" t="s">
        <v>2315</v>
      </c>
      <c r="G10" s="1170">
        <v>165577164</v>
      </c>
      <c r="H10" s="1145" t="s">
        <v>38</v>
      </c>
      <c r="I10" s="1170">
        <v>0.52815100000000004</v>
      </c>
      <c r="J10" s="1170">
        <v>25963</v>
      </c>
      <c r="K10" s="1170" t="s">
        <v>5873</v>
      </c>
      <c r="L10" s="1170" t="s">
        <v>289</v>
      </c>
      <c r="M10" s="1172">
        <f>3928</f>
        <v>3928</v>
      </c>
      <c r="N10" s="1170" t="s">
        <v>17</v>
      </c>
      <c r="O10" s="1170">
        <v>0.09</v>
      </c>
      <c r="P10" s="1170" t="s">
        <v>3172</v>
      </c>
      <c r="Q10" s="1171">
        <v>6.0000000000000002E-6</v>
      </c>
      <c r="R10" s="1174" t="s">
        <v>5639</v>
      </c>
      <c r="S10" s="1182" t="s">
        <v>35</v>
      </c>
      <c r="T10" s="1169">
        <v>20339536</v>
      </c>
    </row>
    <row r="11" spans="1:20" ht="30" x14ac:dyDescent="0.25">
      <c r="A11" s="1451">
        <v>2</v>
      </c>
      <c r="B11" s="1454" t="s">
        <v>42</v>
      </c>
      <c r="C11" s="1454">
        <v>188343497</v>
      </c>
      <c r="D11" s="1455" t="s">
        <v>43</v>
      </c>
      <c r="E11" s="1458">
        <v>0.69699999999999995</v>
      </c>
      <c r="F11" s="1178" t="s">
        <v>5872</v>
      </c>
      <c r="G11" s="1178">
        <v>188083123</v>
      </c>
      <c r="H11" s="1181" t="s">
        <v>5868</v>
      </c>
      <c r="I11" s="1178">
        <v>0.30796899999999999</v>
      </c>
      <c r="J11" s="1178">
        <v>-260374</v>
      </c>
      <c r="K11" s="1178" t="s">
        <v>5871</v>
      </c>
      <c r="L11" s="1178" t="s">
        <v>5870</v>
      </c>
      <c r="M11" s="1180">
        <f>104666+132115+370+517+512+764+48274+39864+2441+-6314+-919+828+205+287+2964+658</f>
        <v>327232</v>
      </c>
      <c r="N11" s="1178" t="s">
        <v>23</v>
      </c>
      <c r="O11" s="1178">
        <v>0.53100000000000003</v>
      </c>
      <c r="P11" s="1178" t="s">
        <v>3172</v>
      </c>
      <c r="Q11" s="1179">
        <v>7.9999999999999996E-6</v>
      </c>
      <c r="R11" s="1178">
        <v>1.7999999999999999E-2</v>
      </c>
      <c r="S11" s="1183" t="s">
        <v>35</v>
      </c>
      <c r="T11" s="1177">
        <v>25673413</v>
      </c>
    </row>
    <row r="12" spans="1:20" x14ac:dyDescent="0.25">
      <c r="A12" s="1452"/>
      <c r="B12" s="1443"/>
      <c r="C12" s="1443"/>
      <c r="D12" s="1456"/>
      <c r="E12" s="1459"/>
      <c r="F12" s="1174" t="s">
        <v>5869</v>
      </c>
      <c r="G12" s="1174">
        <v>188196469</v>
      </c>
      <c r="H12" s="1148" t="s">
        <v>5868</v>
      </c>
      <c r="I12" s="1174">
        <v>0.52024000000000004</v>
      </c>
      <c r="J12" s="1174">
        <v>-147028</v>
      </c>
      <c r="K12" s="1174" t="s">
        <v>5712</v>
      </c>
      <c r="L12" s="1174" t="s">
        <v>5864</v>
      </c>
      <c r="M12" s="1176">
        <f>8424+7268+6996+7794+18049+16357+3359+2828</f>
        <v>71075</v>
      </c>
      <c r="N12" s="1174" t="s">
        <v>5639</v>
      </c>
      <c r="O12" s="1174" t="s">
        <v>5639</v>
      </c>
      <c r="P12" s="1174" t="s">
        <v>3172</v>
      </c>
      <c r="Q12" s="1175">
        <v>6.9999999999999997E-7</v>
      </c>
      <c r="R12" s="1174" t="s">
        <v>5639</v>
      </c>
      <c r="S12" s="1182" t="s">
        <v>35</v>
      </c>
      <c r="T12" s="1173">
        <v>21378988</v>
      </c>
    </row>
    <row r="13" spans="1:20" x14ac:dyDescent="0.25">
      <c r="A13" s="1452"/>
      <c r="B13" s="1443"/>
      <c r="C13" s="1443"/>
      <c r="D13" s="1456"/>
      <c r="E13" s="1459"/>
      <c r="F13" s="1174" t="s">
        <v>5867</v>
      </c>
      <c r="G13" s="1174">
        <v>188333064</v>
      </c>
      <c r="H13" s="1148" t="s">
        <v>5865</v>
      </c>
      <c r="I13" s="1174">
        <v>0.83413899999999996</v>
      </c>
      <c r="J13" s="1174">
        <v>-10433</v>
      </c>
      <c r="K13" s="1174" t="s">
        <v>5866</v>
      </c>
      <c r="L13" s="1174" t="s">
        <v>5688</v>
      </c>
      <c r="M13" s="1176">
        <f>85787+6568+88823</f>
        <v>181178</v>
      </c>
      <c r="N13" s="1174" t="s">
        <v>16</v>
      </c>
      <c r="O13" s="1174">
        <v>0.317</v>
      </c>
      <c r="P13" s="1174" t="s">
        <v>3172</v>
      </c>
      <c r="Q13" s="1175">
        <v>4.9999999999999998E-8</v>
      </c>
      <c r="R13" s="1174">
        <v>0.217</v>
      </c>
      <c r="S13" s="1174" t="s">
        <v>7</v>
      </c>
      <c r="T13" s="1173">
        <v>23583979</v>
      </c>
    </row>
    <row r="14" spans="1:20" x14ac:dyDescent="0.25">
      <c r="A14" s="1453"/>
      <c r="B14" s="1444"/>
      <c r="C14" s="1444"/>
      <c r="D14" s="1457"/>
      <c r="E14" s="1460"/>
      <c r="F14" s="1170" t="s">
        <v>42</v>
      </c>
      <c r="G14" s="1170">
        <v>188343497</v>
      </c>
      <c r="H14" s="1145" t="s">
        <v>5865</v>
      </c>
      <c r="I14" s="1170">
        <v>1</v>
      </c>
      <c r="J14" s="1170">
        <v>0</v>
      </c>
      <c r="K14" s="1170" t="s">
        <v>5712</v>
      </c>
      <c r="L14" s="1170" t="s">
        <v>5864</v>
      </c>
      <c r="M14" s="1172">
        <f>8424+7268+6996+7794+18049+16357+3359+2828</f>
        <v>71075</v>
      </c>
      <c r="N14" s="1170" t="s">
        <v>5639</v>
      </c>
      <c r="O14" s="1170" t="s">
        <v>5639</v>
      </c>
      <c r="P14" s="1170" t="s">
        <v>2980</v>
      </c>
      <c r="Q14" s="1171">
        <v>9.0000000000000002E-6</v>
      </c>
      <c r="R14" s="1174" t="s">
        <v>5639</v>
      </c>
      <c r="S14" s="1194" t="s">
        <v>35</v>
      </c>
      <c r="T14" s="1169">
        <v>21378988</v>
      </c>
    </row>
    <row r="15" spans="1:20" x14ac:dyDescent="0.25">
      <c r="A15" s="1451">
        <v>3</v>
      </c>
      <c r="B15" s="1454" t="s">
        <v>51</v>
      </c>
      <c r="C15" s="1454">
        <v>52558008</v>
      </c>
      <c r="D15" s="1455" t="s">
        <v>915</v>
      </c>
      <c r="E15" s="1458">
        <v>0.44540000000000002</v>
      </c>
      <c r="F15" s="1178" t="s">
        <v>5857</v>
      </c>
      <c r="G15" s="1178">
        <v>52287468</v>
      </c>
      <c r="H15" s="1181" t="s">
        <v>5856</v>
      </c>
      <c r="I15" s="1178">
        <v>0.37705100000000003</v>
      </c>
      <c r="J15" s="1178">
        <v>-270540</v>
      </c>
      <c r="K15" s="1178" t="s">
        <v>5727</v>
      </c>
      <c r="L15" s="1178" t="s">
        <v>5726</v>
      </c>
      <c r="M15" s="1180">
        <f>592+505+36989+113075</f>
        <v>151161</v>
      </c>
      <c r="N15" s="1178" t="s">
        <v>24</v>
      </c>
      <c r="O15" s="1178" t="s">
        <v>5639</v>
      </c>
      <c r="P15" s="1178" t="s">
        <v>3558</v>
      </c>
      <c r="Q15" s="1179">
        <v>3E-9</v>
      </c>
      <c r="R15" s="1178">
        <v>1.0638297999999999</v>
      </c>
      <c r="S15" s="1182" t="s">
        <v>35</v>
      </c>
      <c r="T15" s="1177">
        <v>26198764</v>
      </c>
    </row>
    <row r="16" spans="1:20" ht="30" x14ac:dyDescent="0.25">
      <c r="A16" s="1452"/>
      <c r="B16" s="1443"/>
      <c r="C16" s="1443"/>
      <c r="D16" s="1456"/>
      <c r="E16" s="1459"/>
      <c r="F16" s="1174" t="s">
        <v>5855</v>
      </c>
      <c r="G16" s="1174">
        <v>52338852</v>
      </c>
      <c r="H16" s="1148" t="s">
        <v>5854</v>
      </c>
      <c r="I16" s="1174">
        <v>0.38480799999999998</v>
      </c>
      <c r="J16" s="1174">
        <v>-219156</v>
      </c>
      <c r="K16" s="1174" t="s">
        <v>5853</v>
      </c>
      <c r="L16" s="1174" t="s">
        <v>289</v>
      </c>
      <c r="M16" s="1176">
        <f>2383+1643+1613</f>
        <v>5639</v>
      </c>
      <c r="N16" s="1174" t="s">
        <v>5639</v>
      </c>
      <c r="O16" s="1174" t="s">
        <v>5639</v>
      </c>
      <c r="P16" s="1174" t="s">
        <v>5708</v>
      </c>
      <c r="Q16" s="1175">
        <v>9.0000000000000002E-6</v>
      </c>
      <c r="R16" s="1174">
        <v>9.4E-2</v>
      </c>
      <c r="S16" s="1182" t="s">
        <v>35</v>
      </c>
      <c r="T16" s="1173">
        <v>25387704</v>
      </c>
    </row>
    <row r="17" spans="1:20" x14ac:dyDescent="0.25">
      <c r="A17" s="1452"/>
      <c r="B17" s="1443"/>
      <c r="C17" s="1443"/>
      <c r="D17" s="1456"/>
      <c r="E17" s="1459"/>
      <c r="F17" s="1174" t="s">
        <v>5852</v>
      </c>
      <c r="G17" s="1174">
        <v>52566065</v>
      </c>
      <c r="H17" s="1148" t="s">
        <v>2352</v>
      </c>
      <c r="I17" s="1174">
        <v>0.95354499999999998</v>
      </c>
      <c r="J17" s="1174">
        <v>8057</v>
      </c>
      <c r="K17" s="1174" t="s">
        <v>5851</v>
      </c>
      <c r="L17" s="1174" t="s">
        <v>289</v>
      </c>
      <c r="M17" s="1176">
        <f>51719+1473+327+430</f>
        <v>53949</v>
      </c>
      <c r="N17" s="1174" t="s">
        <v>5639</v>
      </c>
      <c r="O17" s="1174" t="s">
        <v>5639</v>
      </c>
      <c r="P17" s="1174" t="s">
        <v>3172</v>
      </c>
      <c r="Q17" s="1175">
        <v>5.0000000000000004E-6</v>
      </c>
      <c r="R17" s="1174">
        <v>-2.5499999999999998E-2</v>
      </c>
      <c r="S17" s="1182" t="s">
        <v>35</v>
      </c>
      <c r="T17" s="1173">
        <v>25644384</v>
      </c>
    </row>
    <row r="18" spans="1:20" x14ac:dyDescent="0.25">
      <c r="A18" s="1452"/>
      <c r="B18" s="1443"/>
      <c r="C18" s="1443"/>
      <c r="D18" s="1456"/>
      <c r="E18" s="1459"/>
      <c r="F18" s="1174" t="s">
        <v>5863</v>
      </c>
      <c r="G18" s="1174">
        <v>52584787</v>
      </c>
      <c r="H18" s="1148" t="s">
        <v>5847</v>
      </c>
      <c r="I18" s="1174">
        <v>0.30362800000000001</v>
      </c>
      <c r="J18" s="1174">
        <v>26779</v>
      </c>
      <c r="K18" s="1174" t="s">
        <v>5862</v>
      </c>
      <c r="L18" s="1174" t="s">
        <v>289</v>
      </c>
      <c r="M18" s="1176">
        <f>6686+9068+1930+2747</f>
        <v>20431</v>
      </c>
      <c r="N18" s="1174" t="s">
        <v>5639</v>
      </c>
      <c r="O18" s="1174">
        <v>0.59</v>
      </c>
      <c r="P18" s="1174" t="s">
        <v>3742</v>
      </c>
      <c r="Q18" s="1175">
        <v>2.0000000000000001E-9</v>
      </c>
      <c r="R18" s="1174">
        <v>1.1399999999999999</v>
      </c>
      <c r="S18" s="1174" t="s">
        <v>7</v>
      </c>
      <c r="T18" s="1173">
        <v>20081856</v>
      </c>
    </row>
    <row r="19" spans="1:20" x14ac:dyDescent="0.25">
      <c r="A19" s="1452"/>
      <c r="B19" s="1443"/>
      <c r="C19" s="1443"/>
      <c r="D19" s="1456"/>
      <c r="E19" s="1459"/>
      <c r="F19" s="1174" t="s">
        <v>5850</v>
      </c>
      <c r="G19" s="1174">
        <v>52622086</v>
      </c>
      <c r="H19" s="1148" t="s">
        <v>5847</v>
      </c>
      <c r="I19" s="1174">
        <v>0.88472899999999999</v>
      </c>
      <c r="J19" s="1174">
        <v>64078</v>
      </c>
      <c r="K19" s="1174" t="s">
        <v>5734</v>
      </c>
      <c r="L19" s="1174" t="s">
        <v>289</v>
      </c>
      <c r="M19" s="1176">
        <f>29347+4232+1776</f>
        <v>35355</v>
      </c>
      <c r="N19" s="1174" t="s">
        <v>24</v>
      </c>
      <c r="O19" s="1174">
        <v>0.51</v>
      </c>
      <c r="P19" s="1174" t="s">
        <v>3172</v>
      </c>
      <c r="Q19" s="1175">
        <v>2.0000000000000001E-13</v>
      </c>
      <c r="R19" s="1174">
        <v>-0.03</v>
      </c>
      <c r="S19" s="1182" t="s">
        <v>35</v>
      </c>
      <c r="T19" s="1173">
        <v>22479202</v>
      </c>
    </row>
    <row r="20" spans="1:20" ht="30" x14ac:dyDescent="0.25">
      <c r="A20" s="1452"/>
      <c r="B20" s="1443"/>
      <c r="C20" s="1443"/>
      <c r="D20" s="1456"/>
      <c r="E20" s="1459"/>
      <c r="F20" s="1174" t="s">
        <v>5848</v>
      </c>
      <c r="G20" s="1174">
        <v>52718280</v>
      </c>
      <c r="H20" s="1148" t="s">
        <v>5847</v>
      </c>
      <c r="I20" s="1174">
        <v>0.65612099999999995</v>
      </c>
      <c r="J20" s="1174">
        <v>160272</v>
      </c>
      <c r="K20" s="1174" t="s">
        <v>5846</v>
      </c>
      <c r="L20" s="1174" t="s">
        <v>289</v>
      </c>
      <c r="M20" s="1176">
        <f>2196+8148</f>
        <v>10344</v>
      </c>
      <c r="N20" s="1174" t="s">
        <v>5639</v>
      </c>
      <c r="O20" s="1174" t="s">
        <v>5639</v>
      </c>
      <c r="P20" s="1174" t="s">
        <v>3172</v>
      </c>
      <c r="Q20" s="1175">
        <v>1.9999999999999999E-6</v>
      </c>
      <c r="R20" s="1174">
        <v>1.19</v>
      </c>
      <c r="S20" s="1182" t="s">
        <v>35</v>
      </c>
      <c r="T20" s="1173">
        <v>23092984</v>
      </c>
    </row>
    <row r="21" spans="1:20" x14ac:dyDescent="0.25">
      <c r="A21" s="1452"/>
      <c r="B21" s="1443"/>
      <c r="C21" s="1443"/>
      <c r="D21" s="1456"/>
      <c r="E21" s="1459"/>
      <c r="F21" s="1174" t="s">
        <v>5845</v>
      </c>
      <c r="G21" s="1174">
        <v>52720080</v>
      </c>
      <c r="H21" s="1148" t="s">
        <v>2336</v>
      </c>
      <c r="I21" s="1174">
        <v>0.76756599999999997</v>
      </c>
      <c r="J21" s="1174">
        <v>162072</v>
      </c>
      <c r="K21" s="1174" t="s">
        <v>5734</v>
      </c>
      <c r="L21" s="1174" t="s">
        <v>289</v>
      </c>
      <c r="M21" s="1176">
        <f>29347+10536</f>
        <v>39883</v>
      </c>
      <c r="N21" s="1174" t="s">
        <v>17</v>
      </c>
      <c r="O21" s="1174">
        <v>0.5</v>
      </c>
      <c r="P21" s="1174" t="s">
        <v>4226</v>
      </c>
      <c r="Q21" s="1175">
        <v>1E-13</v>
      </c>
      <c r="R21" s="1174">
        <v>0.03</v>
      </c>
      <c r="S21" s="1182" t="s">
        <v>35</v>
      </c>
      <c r="T21" s="1173">
        <v>22479202</v>
      </c>
    </row>
    <row r="22" spans="1:20" x14ac:dyDescent="0.25">
      <c r="A22" s="1452"/>
      <c r="B22" s="1443"/>
      <c r="C22" s="1443"/>
      <c r="D22" s="1456"/>
      <c r="E22" s="1459"/>
      <c r="F22" s="1174" t="s">
        <v>5861</v>
      </c>
      <c r="G22" s="1174">
        <v>52721305</v>
      </c>
      <c r="H22" s="1148" t="s">
        <v>2336</v>
      </c>
      <c r="I22" s="1174">
        <v>0.30972499999999997</v>
      </c>
      <c r="J22" s="1174">
        <v>163297</v>
      </c>
      <c r="K22" s="1174" t="s">
        <v>5860</v>
      </c>
      <c r="L22" s="1174" t="s">
        <v>289</v>
      </c>
      <c r="M22" s="1176">
        <f>7410+11009+7473+42938</f>
        <v>68830</v>
      </c>
      <c r="N22" s="1174" t="s">
        <v>16</v>
      </c>
      <c r="O22" s="1174">
        <v>0.38</v>
      </c>
      <c r="P22" s="1174" t="s">
        <v>2980</v>
      </c>
      <c r="Q22" s="1175">
        <v>5.0000000000000001E-9</v>
      </c>
      <c r="R22" s="1174">
        <v>1.0900000000000001</v>
      </c>
      <c r="S22" s="1174" t="s">
        <v>1065</v>
      </c>
      <c r="T22" s="1173">
        <v>22763110</v>
      </c>
    </row>
    <row r="23" spans="1:20" ht="30" x14ac:dyDescent="0.25">
      <c r="A23" s="1452"/>
      <c r="B23" s="1443"/>
      <c r="C23" s="1443"/>
      <c r="D23" s="1456"/>
      <c r="E23" s="1459"/>
      <c r="F23" s="1174" t="s">
        <v>5841</v>
      </c>
      <c r="G23" s="1174">
        <v>52815905</v>
      </c>
      <c r="H23" s="1148" t="s">
        <v>5838</v>
      </c>
      <c r="I23" s="1174">
        <v>0.74869399999999997</v>
      </c>
      <c r="J23" s="1174">
        <v>257897</v>
      </c>
      <c r="K23" s="1174" t="s">
        <v>5859</v>
      </c>
      <c r="L23" s="1174" t="s">
        <v>5858</v>
      </c>
      <c r="M23" s="1176">
        <f>11985+377+1032+34676+2652</f>
        <v>50722</v>
      </c>
      <c r="N23" s="1174" t="s">
        <v>5639</v>
      </c>
      <c r="O23" s="1174">
        <v>0.46600000000000003</v>
      </c>
      <c r="P23" s="1174" t="s">
        <v>3172</v>
      </c>
      <c r="Q23" s="1175">
        <v>2.9999999999999997E-8</v>
      </c>
      <c r="R23" s="1174" t="s">
        <v>5639</v>
      </c>
      <c r="S23" s="1182" t="s">
        <v>35</v>
      </c>
      <c r="T23" s="1173">
        <v>24166486</v>
      </c>
    </row>
    <row r="24" spans="1:20" x14ac:dyDescent="0.25">
      <c r="A24" s="1452"/>
      <c r="B24" s="1443"/>
      <c r="C24" s="1443"/>
      <c r="D24" s="1456"/>
      <c r="E24" s="1459"/>
      <c r="F24" s="1174" t="s">
        <v>5839</v>
      </c>
      <c r="G24" s="1174">
        <v>52821011</v>
      </c>
      <c r="H24" s="1148" t="s">
        <v>5838</v>
      </c>
      <c r="I24" s="1174">
        <v>0.48475499999999999</v>
      </c>
      <c r="J24" s="1174">
        <v>263003</v>
      </c>
      <c r="K24" s="1174" t="s">
        <v>5698</v>
      </c>
      <c r="L24" s="1174" t="s">
        <v>289</v>
      </c>
      <c r="M24" s="1176">
        <f>3683+14507</f>
        <v>18190</v>
      </c>
      <c r="N24" s="1174" t="s">
        <v>16</v>
      </c>
      <c r="O24" s="1174">
        <v>0.63</v>
      </c>
      <c r="P24" s="1174" t="s">
        <v>2980</v>
      </c>
      <c r="Q24" s="1175">
        <v>1.9999999999999999E-7</v>
      </c>
      <c r="R24" s="1174">
        <v>1.19</v>
      </c>
      <c r="S24" s="1174" t="s">
        <v>7</v>
      </c>
      <c r="T24" s="1173">
        <v>19416921</v>
      </c>
    </row>
    <row r="25" spans="1:20" ht="60" x14ac:dyDescent="0.25">
      <c r="A25" s="1452"/>
      <c r="B25" s="1443"/>
      <c r="C25" s="1443"/>
      <c r="D25" s="1456"/>
      <c r="E25" s="1459"/>
      <c r="F25" s="1174" t="s">
        <v>2357</v>
      </c>
      <c r="G25" s="1174">
        <v>52833219</v>
      </c>
      <c r="H25" s="1148" t="s">
        <v>916</v>
      </c>
      <c r="I25" s="1174">
        <v>0.39820800000000001</v>
      </c>
      <c r="J25" s="1174">
        <v>275211</v>
      </c>
      <c r="K25" s="1174" t="s">
        <v>5837</v>
      </c>
      <c r="L25" s="1174" t="s">
        <v>289</v>
      </c>
      <c r="M25" s="1176">
        <f>6990+9227+9379+161+4788+840+-1947+-27888</f>
        <v>1550</v>
      </c>
      <c r="N25" s="1174" t="s">
        <v>5639</v>
      </c>
      <c r="O25" s="1174">
        <v>0.65100000000000002</v>
      </c>
      <c r="P25" s="1174" t="s">
        <v>3172</v>
      </c>
      <c r="Q25" s="1175">
        <v>3.0000000000000001E-12</v>
      </c>
      <c r="R25" s="1174">
        <v>1.1000000000000001</v>
      </c>
      <c r="S25" s="1174" t="s">
        <v>7</v>
      </c>
      <c r="T25" s="1173">
        <v>23453885</v>
      </c>
    </row>
    <row r="26" spans="1:20" x14ac:dyDescent="0.25">
      <c r="A26" s="1452"/>
      <c r="B26" s="1443"/>
      <c r="C26" s="1443"/>
      <c r="D26" s="1456"/>
      <c r="E26" s="1459"/>
      <c r="F26" s="1174" t="s">
        <v>5836</v>
      </c>
      <c r="G26" s="1174">
        <v>52835354</v>
      </c>
      <c r="H26" s="1148" t="s">
        <v>916</v>
      </c>
      <c r="I26" s="1174">
        <v>0.39776400000000001</v>
      </c>
      <c r="J26" s="1174">
        <v>277346</v>
      </c>
      <c r="K26" s="1174" t="s">
        <v>5698</v>
      </c>
      <c r="L26" s="1174" t="s">
        <v>289</v>
      </c>
      <c r="M26" s="1176">
        <f>7481+9250+4496+42422</f>
        <v>63649</v>
      </c>
      <c r="N26" s="1174" t="s">
        <v>17</v>
      </c>
      <c r="O26" s="1174" t="s">
        <v>5639</v>
      </c>
      <c r="P26" s="1174" t="s">
        <v>3172</v>
      </c>
      <c r="Q26" s="1175">
        <v>1.9999999999999999E-6</v>
      </c>
      <c r="R26" s="1174">
        <v>1.1000000000000001</v>
      </c>
      <c r="S26" s="1182" t="s">
        <v>35</v>
      </c>
      <c r="T26" s="1173">
        <v>21926972</v>
      </c>
    </row>
    <row r="27" spans="1:20" x14ac:dyDescent="0.25">
      <c r="A27" s="1452"/>
      <c r="B27" s="1443"/>
      <c r="C27" s="1443"/>
      <c r="D27" s="1456"/>
      <c r="E27" s="1459"/>
      <c r="F27" s="1174" t="s">
        <v>5834</v>
      </c>
      <c r="G27" s="1174">
        <v>52845105</v>
      </c>
      <c r="H27" s="1148" t="s">
        <v>5833</v>
      </c>
      <c r="I27" s="1174">
        <v>0.44311899999999999</v>
      </c>
      <c r="J27" s="1174">
        <v>287097</v>
      </c>
      <c r="K27" s="1174" t="s">
        <v>5727</v>
      </c>
      <c r="L27" s="1174" t="s">
        <v>5641</v>
      </c>
      <c r="M27" s="1176">
        <f>32405+42221+1235+1235+1235+-1836+3383+1513+66236</f>
        <v>147627</v>
      </c>
      <c r="N27" s="1174" t="s">
        <v>23</v>
      </c>
      <c r="O27" s="1174">
        <v>0.52900000000000003</v>
      </c>
      <c r="P27" s="1174" t="s">
        <v>3558</v>
      </c>
      <c r="Q27" s="1175">
        <v>3.9999999999999998E-11</v>
      </c>
      <c r="R27" s="1174">
        <v>1.071</v>
      </c>
      <c r="S27" s="1182" t="s">
        <v>35</v>
      </c>
      <c r="T27" s="1173">
        <v>25056061</v>
      </c>
    </row>
    <row r="28" spans="1:20" x14ac:dyDescent="0.25">
      <c r="A28" s="1453"/>
      <c r="B28" s="1444"/>
      <c r="C28" s="1444"/>
      <c r="D28" s="1457"/>
      <c r="E28" s="1460"/>
      <c r="F28" s="1170" t="s">
        <v>5832</v>
      </c>
      <c r="G28" s="1170">
        <v>52859630</v>
      </c>
      <c r="H28" s="1145" t="s">
        <v>2346</v>
      </c>
      <c r="I28" s="1170">
        <v>0.26125799999999999</v>
      </c>
      <c r="J28" s="1170">
        <v>301622</v>
      </c>
      <c r="K28" s="1170" t="s">
        <v>5822</v>
      </c>
      <c r="L28" s="1170" t="s">
        <v>5831</v>
      </c>
      <c r="M28" s="1172">
        <f>82438+4301+47352</f>
        <v>134091</v>
      </c>
      <c r="N28" s="1170" t="s">
        <v>24</v>
      </c>
      <c r="O28" s="1170">
        <v>0.42</v>
      </c>
      <c r="P28" s="1170" t="s">
        <v>3172</v>
      </c>
      <c r="Q28" s="1171">
        <v>2.0000000000000001E-10</v>
      </c>
      <c r="R28" s="1170">
        <v>2.8799999999999999E-2</v>
      </c>
      <c r="S28" s="1170" t="s">
        <v>1065</v>
      </c>
      <c r="T28" s="1169">
        <v>24861553</v>
      </c>
    </row>
    <row r="29" spans="1:20" x14ac:dyDescent="0.25">
      <c r="A29" s="1451">
        <v>3</v>
      </c>
      <c r="B29" s="1454" t="s">
        <v>55</v>
      </c>
      <c r="C29" s="1454">
        <v>52833805</v>
      </c>
      <c r="D29" s="1455" t="s">
        <v>916</v>
      </c>
      <c r="E29" s="1455">
        <v>0.54069999999999996</v>
      </c>
      <c r="F29" s="1178" t="s">
        <v>5857</v>
      </c>
      <c r="G29" s="1178">
        <v>52287468</v>
      </c>
      <c r="H29" s="1181" t="s">
        <v>5856</v>
      </c>
      <c r="I29" s="1178">
        <v>0.26658700000000002</v>
      </c>
      <c r="J29" s="1178">
        <v>-546337</v>
      </c>
      <c r="K29" s="1178" t="s">
        <v>5727</v>
      </c>
      <c r="L29" s="1178" t="s">
        <v>5726</v>
      </c>
      <c r="M29" s="1180">
        <f>592+505+36989+113075</f>
        <v>151161</v>
      </c>
      <c r="N29" s="1178" t="s">
        <v>24</v>
      </c>
      <c r="O29" s="1178" t="s">
        <v>5639</v>
      </c>
      <c r="P29" s="1178" t="s">
        <v>3558</v>
      </c>
      <c r="Q29" s="1179">
        <v>3E-9</v>
      </c>
      <c r="R29" s="1178">
        <v>1.0638297999999999</v>
      </c>
      <c r="S29" s="1182" t="s">
        <v>35</v>
      </c>
      <c r="T29" s="1177">
        <v>26198764</v>
      </c>
    </row>
    <row r="30" spans="1:20" ht="30" x14ac:dyDescent="0.25">
      <c r="A30" s="1452"/>
      <c r="B30" s="1443"/>
      <c r="C30" s="1443"/>
      <c r="D30" s="1456"/>
      <c r="E30" s="1456"/>
      <c r="F30" s="1174" t="s">
        <v>5855</v>
      </c>
      <c r="G30" s="1174">
        <v>52338852</v>
      </c>
      <c r="H30" s="1148" t="s">
        <v>5854</v>
      </c>
      <c r="I30" s="1174">
        <v>0.26797100000000001</v>
      </c>
      <c r="J30" s="1174">
        <v>-494953</v>
      </c>
      <c r="K30" s="1174" t="s">
        <v>5853</v>
      </c>
      <c r="L30" s="1174" t="s">
        <v>289</v>
      </c>
      <c r="M30" s="1176">
        <f>2383+1643+1613</f>
        <v>5639</v>
      </c>
      <c r="N30" s="1174" t="s">
        <v>5639</v>
      </c>
      <c r="O30" s="1174" t="s">
        <v>5639</v>
      </c>
      <c r="P30" s="1174" t="s">
        <v>5708</v>
      </c>
      <c r="Q30" s="1175">
        <v>9.0000000000000002E-6</v>
      </c>
      <c r="R30" s="1174">
        <v>9.4E-2</v>
      </c>
      <c r="S30" s="1182" t="s">
        <v>35</v>
      </c>
      <c r="T30" s="1173">
        <v>25387704</v>
      </c>
    </row>
    <row r="31" spans="1:20" x14ac:dyDescent="0.25">
      <c r="A31" s="1452"/>
      <c r="B31" s="1443"/>
      <c r="C31" s="1443"/>
      <c r="D31" s="1456"/>
      <c r="E31" s="1456"/>
      <c r="F31" s="1174" t="s">
        <v>5852</v>
      </c>
      <c r="G31" s="1174">
        <v>52566065</v>
      </c>
      <c r="H31" s="1148" t="s">
        <v>2352</v>
      </c>
      <c r="I31" s="1174">
        <v>0.48519000000000001</v>
      </c>
      <c r="J31" s="1174">
        <v>-267740</v>
      </c>
      <c r="K31" s="1174" t="s">
        <v>5851</v>
      </c>
      <c r="L31" s="1174" t="s">
        <v>289</v>
      </c>
      <c r="M31" s="1176">
        <f>51719+1473+327+430</f>
        <v>53949</v>
      </c>
      <c r="N31" s="1174" t="s">
        <v>5639</v>
      </c>
      <c r="O31" s="1174" t="s">
        <v>5639</v>
      </c>
      <c r="P31" s="1174" t="s">
        <v>3172</v>
      </c>
      <c r="Q31" s="1175">
        <v>5.0000000000000004E-6</v>
      </c>
      <c r="R31" s="1174">
        <v>-2.5499999999999998E-2</v>
      </c>
      <c r="S31" s="1182" t="s">
        <v>35</v>
      </c>
      <c r="T31" s="1173">
        <v>25644384</v>
      </c>
    </row>
    <row r="32" spans="1:20" x14ac:dyDescent="0.25">
      <c r="A32" s="1452"/>
      <c r="B32" s="1443"/>
      <c r="C32" s="1443"/>
      <c r="D32" s="1456"/>
      <c r="E32" s="1456"/>
      <c r="F32" s="1174" t="s">
        <v>5850</v>
      </c>
      <c r="G32" s="1174">
        <v>52622086</v>
      </c>
      <c r="H32" s="1148" t="s">
        <v>5847</v>
      </c>
      <c r="I32" s="1174">
        <v>0.54552800000000001</v>
      </c>
      <c r="J32" s="1174">
        <v>-211719</v>
      </c>
      <c r="K32" s="1174" t="s">
        <v>5734</v>
      </c>
      <c r="L32" s="1174" t="s">
        <v>5849</v>
      </c>
      <c r="M32" s="1176">
        <f>29347+4232+1776</f>
        <v>35355</v>
      </c>
      <c r="N32" s="1174" t="s">
        <v>24</v>
      </c>
      <c r="O32" s="1174">
        <v>0.51</v>
      </c>
      <c r="P32" s="1174" t="s">
        <v>3172</v>
      </c>
      <c r="Q32" s="1175">
        <v>2.0000000000000001E-13</v>
      </c>
      <c r="R32" s="1174">
        <v>-0.03</v>
      </c>
      <c r="S32" s="1182" t="s">
        <v>35</v>
      </c>
      <c r="T32" s="1173">
        <v>22479202</v>
      </c>
    </row>
    <row r="33" spans="1:20" ht="30" x14ac:dyDescent="0.25">
      <c r="A33" s="1452"/>
      <c r="B33" s="1443"/>
      <c r="C33" s="1443"/>
      <c r="D33" s="1456"/>
      <c r="E33" s="1456"/>
      <c r="F33" s="1174" t="s">
        <v>5848</v>
      </c>
      <c r="G33" s="1174">
        <v>52718280</v>
      </c>
      <c r="H33" s="1148" t="s">
        <v>5847</v>
      </c>
      <c r="I33" s="1174">
        <v>0.364035</v>
      </c>
      <c r="J33" s="1174">
        <v>-115525</v>
      </c>
      <c r="K33" s="1174" t="s">
        <v>5846</v>
      </c>
      <c r="L33" s="1174" t="s">
        <v>289</v>
      </c>
      <c r="M33" s="1176">
        <f>2196+8148</f>
        <v>10344</v>
      </c>
      <c r="N33" s="1174" t="s">
        <v>5639</v>
      </c>
      <c r="O33" s="1174" t="s">
        <v>5639</v>
      </c>
      <c r="P33" s="1174" t="s">
        <v>3172</v>
      </c>
      <c r="Q33" s="1175">
        <v>1.9999999999999999E-6</v>
      </c>
      <c r="R33" s="1174">
        <v>1.19</v>
      </c>
      <c r="S33" s="1182" t="s">
        <v>35</v>
      </c>
      <c r="T33" s="1173">
        <v>23092984</v>
      </c>
    </row>
    <row r="34" spans="1:20" x14ac:dyDescent="0.25">
      <c r="A34" s="1452"/>
      <c r="B34" s="1443"/>
      <c r="C34" s="1443"/>
      <c r="D34" s="1456"/>
      <c r="E34" s="1456"/>
      <c r="F34" s="1174" t="s">
        <v>5845</v>
      </c>
      <c r="G34" s="1174">
        <v>52720080</v>
      </c>
      <c r="H34" s="1148" t="s">
        <v>2336</v>
      </c>
      <c r="I34" s="1174">
        <v>0.43815399999999999</v>
      </c>
      <c r="J34" s="1174">
        <v>-113725</v>
      </c>
      <c r="K34" s="1174" t="s">
        <v>5734</v>
      </c>
      <c r="L34" s="1174" t="s">
        <v>289</v>
      </c>
      <c r="M34" s="1176">
        <f>29347+10536</f>
        <v>39883</v>
      </c>
      <c r="N34" s="1174" t="s">
        <v>17</v>
      </c>
      <c r="O34" s="1174">
        <v>0.5</v>
      </c>
      <c r="P34" s="1174" t="s">
        <v>4226</v>
      </c>
      <c r="Q34" s="1175">
        <v>1E-13</v>
      </c>
      <c r="R34" s="1174">
        <v>0.03</v>
      </c>
      <c r="S34" s="1182" t="s">
        <v>35</v>
      </c>
      <c r="T34" s="1173">
        <v>22479202</v>
      </c>
    </row>
    <row r="35" spans="1:20" ht="75" x14ac:dyDescent="0.25">
      <c r="A35" s="1452"/>
      <c r="B35" s="1443"/>
      <c r="C35" s="1443"/>
      <c r="D35" s="1456"/>
      <c r="E35" s="1456"/>
      <c r="F35" s="1174" t="s">
        <v>5844</v>
      </c>
      <c r="G35" s="1174">
        <v>52733106</v>
      </c>
      <c r="H35" s="1148" t="s">
        <v>5843</v>
      </c>
      <c r="I35" s="1174">
        <v>0.29180899999999999</v>
      </c>
      <c r="J35" s="1174">
        <v>-100699</v>
      </c>
      <c r="K35" s="1174" t="s">
        <v>5842</v>
      </c>
      <c r="L35" s="1174" t="s">
        <v>289</v>
      </c>
      <c r="M35" s="1176">
        <f>6990+9227+9379+161+4788+840+-1947+-27888</f>
        <v>1550</v>
      </c>
      <c r="N35" s="1174" t="s">
        <v>23</v>
      </c>
      <c r="O35" s="1174" t="s">
        <v>5639</v>
      </c>
      <c r="P35" s="1174" t="s">
        <v>3172</v>
      </c>
      <c r="Q35" s="1175">
        <v>5.0000000000000004E-6</v>
      </c>
      <c r="R35" s="1174">
        <v>1.07</v>
      </c>
      <c r="S35" s="1182" t="s">
        <v>35</v>
      </c>
      <c r="T35" s="1173">
        <v>23453885</v>
      </c>
    </row>
    <row r="36" spans="1:20" x14ac:dyDescent="0.25">
      <c r="A36" s="1452"/>
      <c r="B36" s="1443"/>
      <c r="C36" s="1443"/>
      <c r="D36" s="1456"/>
      <c r="E36" s="1456"/>
      <c r="F36" s="1174" t="s">
        <v>5841</v>
      </c>
      <c r="G36" s="1174">
        <v>52815905</v>
      </c>
      <c r="H36" s="1148" t="s">
        <v>5838</v>
      </c>
      <c r="I36" s="1174">
        <v>0.66927700000000001</v>
      </c>
      <c r="J36" s="1174">
        <v>-17900</v>
      </c>
      <c r="K36" s="1174" t="s">
        <v>5822</v>
      </c>
      <c r="L36" s="1174" t="s">
        <v>5819</v>
      </c>
      <c r="M36" s="1176">
        <f>104666+132115+370+517+512+764+48274+39864+2441+-6314+-919+828+205+287+2964+658</f>
        <v>327232</v>
      </c>
      <c r="N36" s="1174" t="s">
        <v>17</v>
      </c>
      <c r="O36" s="1174">
        <v>0.49099999999999999</v>
      </c>
      <c r="P36" s="1174" t="s">
        <v>3172</v>
      </c>
      <c r="Q36" s="1175">
        <v>9.0000000000000002E-6</v>
      </c>
      <c r="R36" s="1174">
        <v>1.2999999999999999E-2</v>
      </c>
      <c r="S36" s="1182" t="s">
        <v>35</v>
      </c>
      <c r="T36" s="1173">
        <v>25673413</v>
      </c>
    </row>
    <row r="37" spans="1:20" x14ac:dyDescent="0.25">
      <c r="A37" s="1452"/>
      <c r="B37" s="1443"/>
      <c r="C37" s="1443"/>
      <c r="D37" s="1456"/>
      <c r="E37" s="1456"/>
      <c r="F37" s="1174" t="s">
        <v>5841</v>
      </c>
      <c r="G37" s="1174">
        <v>52815905</v>
      </c>
      <c r="H37" s="1148" t="s">
        <v>5838</v>
      </c>
      <c r="I37" s="1174">
        <v>0.66927700000000001</v>
      </c>
      <c r="J37" s="1174">
        <v>-17900</v>
      </c>
      <c r="K37" s="1174" t="s">
        <v>5840</v>
      </c>
      <c r="L37" s="1174" t="s">
        <v>289</v>
      </c>
      <c r="M37" s="1176">
        <f>1155+1922+3548+9496</f>
        <v>16121</v>
      </c>
      <c r="N37" s="1174" t="s">
        <v>23</v>
      </c>
      <c r="O37" s="1174">
        <v>0.42</v>
      </c>
      <c r="P37" s="1174" t="s">
        <v>3172</v>
      </c>
      <c r="Q37" s="1175">
        <v>5.0000000000000004E-6</v>
      </c>
      <c r="R37" s="1174">
        <v>1.1399999999999999</v>
      </c>
      <c r="S37" s="1182" t="s">
        <v>35</v>
      </c>
      <c r="T37" s="1173">
        <v>25173105</v>
      </c>
    </row>
    <row r="38" spans="1:20" x14ac:dyDescent="0.25">
      <c r="A38" s="1452"/>
      <c r="B38" s="1443"/>
      <c r="C38" s="1443"/>
      <c r="D38" s="1456"/>
      <c r="E38" s="1456"/>
      <c r="F38" s="1174" t="s">
        <v>5839</v>
      </c>
      <c r="G38" s="1174">
        <v>52821011</v>
      </c>
      <c r="H38" s="1148" t="s">
        <v>5838</v>
      </c>
      <c r="I38" s="1174">
        <v>0.48002400000000001</v>
      </c>
      <c r="J38" s="1174">
        <v>-12794</v>
      </c>
      <c r="K38" s="1174" t="s">
        <v>5698</v>
      </c>
      <c r="L38" s="1174" t="s">
        <v>289</v>
      </c>
      <c r="M38" s="1176">
        <f>3683+14507</f>
        <v>18190</v>
      </c>
      <c r="N38" s="1174" t="s">
        <v>16</v>
      </c>
      <c r="O38" s="1174">
        <v>0.63</v>
      </c>
      <c r="P38" s="1174" t="s">
        <v>2980</v>
      </c>
      <c r="Q38" s="1175">
        <v>1.9999999999999999E-7</v>
      </c>
      <c r="R38" s="1174">
        <v>1.19</v>
      </c>
      <c r="S38" s="1182" t="s">
        <v>35</v>
      </c>
      <c r="T38" s="1173">
        <v>19416921</v>
      </c>
    </row>
    <row r="39" spans="1:20" ht="60" x14ac:dyDescent="0.25">
      <c r="A39" s="1452"/>
      <c r="B39" s="1443"/>
      <c r="C39" s="1443"/>
      <c r="D39" s="1456"/>
      <c r="E39" s="1456"/>
      <c r="F39" s="1174" t="s">
        <v>2357</v>
      </c>
      <c r="G39" s="1174">
        <v>52833219</v>
      </c>
      <c r="H39" s="1148" t="s">
        <v>916</v>
      </c>
      <c r="I39" s="1174">
        <v>0.79094799999999998</v>
      </c>
      <c r="J39" s="1174">
        <v>-586</v>
      </c>
      <c r="K39" s="1174" t="s">
        <v>5837</v>
      </c>
      <c r="L39" s="1174" t="s">
        <v>289</v>
      </c>
      <c r="M39" s="1176">
        <f>6990+9227+9379+161+4788+840+-1947+-27888</f>
        <v>1550</v>
      </c>
      <c r="N39" s="1174" t="s">
        <v>5639</v>
      </c>
      <c r="O39" s="1174">
        <v>0.65100000000000002</v>
      </c>
      <c r="P39" s="1174" t="s">
        <v>3172</v>
      </c>
      <c r="Q39" s="1175">
        <v>3.0000000000000001E-12</v>
      </c>
      <c r="R39" s="1174">
        <v>1.1000000000000001</v>
      </c>
      <c r="S39" s="1182" t="s">
        <v>35</v>
      </c>
      <c r="T39" s="1173">
        <v>23453885</v>
      </c>
    </row>
    <row r="40" spans="1:20" x14ac:dyDescent="0.25">
      <c r="A40" s="1452"/>
      <c r="B40" s="1443"/>
      <c r="C40" s="1443"/>
      <c r="D40" s="1456"/>
      <c r="E40" s="1456"/>
      <c r="F40" s="1174" t="s">
        <v>5836</v>
      </c>
      <c r="G40" s="1174">
        <v>52835354</v>
      </c>
      <c r="H40" s="1148" t="s">
        <v>916</v>
      </c>
      <c r="I40" s="1174">
        <v>0.76930500000000002</v>
      </c>
      <c r="J40" s="1174">
        <v>1549</v>
      </c>
      <c r="K40" s="1174" t="s">
        <v>5698</v>
      </c>
      <c r="L40" s="1174" t="s">
        <v>289</v>
      </c>
      <c r="M40" s="1176">
        <f>7481+9250+4496+42422</f>
        <v>63649</v>
      </c>
      <c r="N40" s="1174" t="s">
        <v>17</v>
      </c>
      <c r="O40" s="1174" t="s">
        <v>5639</v>
      </c>
      <c r="P40" s="1174" t="s">
        <v>3172</v>
      </c>
      <c r="Q40" s="1175">
        <v>1.9999999999999999E-6</v>
      </c>
      <c r="R40" s="1174">
        <v>1.1000000000000001</v>
      </c>
      <c r="S40" s="1182" t="s">
        <v>35</v>
      </c>
      <c r="T40" s="1173">
        <v>21926972</v>
      </c>
    </row>
    <row r="41" spans="1:20" ht="30" x14ac:dyDescent="0.25">
      <c r="A41" s="1452"/>
      <c r="B41" s="1443"/>
      <c r="C41" s="1443"/>
      <c r="D41" s="1456"/>
      <c r="E41" s="1456"/>
      <c r="F41" s="1174" t="s">
        <v>5835</v>
      </c>
      <c r="G41" s="1174">
        <v>52838402</v>
      </c>
      <c r="H41" s="1148" t="s">
        <v>916</v>
      </c>
      <c r="I41" s="1174">
        <v>0.259714</v>
      </c>
      <c r="J41" s="1174">
        <v>4597</v>
      </c>
      <c r="K41" s="1174" t="s">
        <v>5727</v>
      </c>
      <c r="L41" s="1174" t="s">
        <v>289</v>
      </c>
      <c r="M41" s="1176">
        <f>5001+6243+8832+12067+4801+4741+2612+15021+581</f>
        <v>59899</v>
      </c>
      <c r="N41" s="1174" t="s">
        <v>23</v>
      </c>
      <c r="O41" s="1174">
        <v>0.64100000000000001</v>
      </c>
      <c r="P41" s="1174" t="s">
        <v>5657</v>
      </c>
      <c r="Q41" s="1175">
        <v>1E-8</v>
      </c>
      <c r="R41" s="1174">
        <v>1.0860000000000001</v>
      </c>
      <c r="S41" s="1182" t="s">
        <v>35</v>
      </c>
      <c r="T41" s="1173">
        <v>23974872</v>
      </c>
    </row>
    <row r="42" spans="1:20" x14ac:dyDescent="0.25">
      <c r="A42" s="1452"/>
      <c r="B42" s="1443"/>
      <c r="C42" s="1443"/>
      <c r="D42" s="1456"/>
      <c r="E42" s="1456"/>
      <c r="F42" s="1174" t="s">
        <v>5834</v>
      </c>
      <c r="G42" s="1174">
        <v>52845105</v>
      </c>
      <c r="H42" s="1148" t="s">
        <v>5833</v>
      </c>
      <c r="I42" s="1174">
        <v>0.85977000000000003</v>
      </c>
      <c r="J42" s="1174">
        <v>11300</v>
      </c>
      <c r="K42" s="1174" t="s">
        <v>5727</v>
      </c>
      <c r="L42" s="1174" t="s">
        <v>5726</v>
      </c>
      <c r="M42" s="1176">
        <f>592+505+36989+113075</f>
        <v>151161</v>
      </c>
      <c r="N42" s="1174" t="s">
        <v>23</v>
      </c>
      <c r="O42" s="1174" t="s">
        <v>5639</v>
      </c>
      <c r="P42" s="1174" t="s">
        <v>3558</v>
      </c>
      <c r="Q42" s="1175">
        <v>1.9999999999999999E-11</v>
      </c>
      <c r="R42" s="1174">
        <v>1.07</v>
      </c>
      <c r="S42" s="1182" t="s">
        <v>35</v>
      </c>
      <c r="T42" s="1173">
        <v>26198764</v>
      </c>
    </row>
    <row r="43" spans="1:20" x14ac:dyDescent="0.25">
      <c r="A43" s="1452"/>
      <c r="B43" s="1443"/>
      <c r="C43" s="1443"/>
      <c r="D43" s="1456"/>
      <c r="E43" s="1456"/>
      <c r="F43" s="1174" t="s">
        <v>5832</v>
      </c>
      <c r="G43" s="1174">
        <v>52859630</v>
      </c>
      <c r="H43" s="1148" t="s">
        <v>2346</v>
      </c>
      <c r="I43" s="1174">
        <v>0.59985999999999995</v>
      </c>
      <c r="J43" s="1174">
        <v>25825</v>
      </c>
      <c r="K43" s="1174" t="s">
        <v>5822</v>
      </c>
      <c r="L43" s="1174" t="s">
        <v>5831</v>
      </c>
      <c r="M43" s="1176">
        <f>82438+4301+47352</f>
        <v>134091</v>
      </c>
      <c r="N43" s="1174" t="s">
        <v>24</v>
      </c>
      <c r="O43" s="1174">
        <v>0.42</v>
      </c>
      <c r="P43" s="1174" t="s">
        <v>3172</v>
      </c>
      <c r="Q43" s="1175">
        <v>2.0000000000000001E-10</v>
      </c>
      <c r="R43" s="1174">
        <v>2.8799999999999999E-2</v>
      </c>
      <c r="S43" s="1182" t="s">
        <v>35</v>
      </c>
      <c r="T43" s="1173">
        <v>24861553</v>
      </c>
    </row>
    <row r="44" spans="1:20" x14ac:dyDescent="0.25">
      <c r="A44" s="1453"/>
      <c r="B44" s="1444"/>
      <c r="C44" s="1444"/>
      <c r="D44" s="1457"/>
      <c r="E44" s="1457"/>
      <c r="F44" s="1170" t="s">
        <v>5830</v>
      </c>
      <c r="G44" s="1170">
        <v>53036206</v>
      </c>
      <c r="H44" s="1145" t="s">
        <v>5829</v>
      </c>
      <c r="I44" s="1170">
        <v>0.25483099999999997</v>
      </c>
      <c r="J44" s="1170">
        <v>202401</v>
      </c>
      <c r="K44" s="1170" t="s">
        <v>5727</v>
      </c>
      <c r="L44" s="1170" t="s">
        <v>5726</v>
      </c>
      <c r="M44" s="1172">
        <f>592+505+36989+113075</f>
        <v>151161</v>
      </c>
      <c r="N44" s="1170" t="s">
        <v>16</v>
      </c>
      <c r="O44" s="1170" t="s">
        <v>5639</v>
      </c>
      <c r="P44" s="1170" t="s">
        <v>3172</v>
      </c>
      <c r="Q44" s="1171">
        <v>2.9999999999999999E-7</v>
      </c>
      <c r="R44" s="1170">
        <v>1.06</v>
      </c>
      <c r="S44" s="1182" t="s">
        <v>35</v>
      </c>
      <c r="T44" s="1169">
        <v>26198764</v>
      </c>
    </row>
    <row r="45" spans="1:20" x14ac:dyDescent="0.25">
      <c r="A45" s="1451">
        <v>5</v>
      </c>
      <c r="B45" s="1454" t="s">
        <v>76</v>
      </c>
      <c r="C45" s="1454">
        <v>176516631</v>
      </c>
      <c r="D45" s="1455" t="s">
        <v>77</v>
      </c>
      <c r="E45" s="1458">
        <v>0.23599999999999999</v>
      </c>
      <c r="F45" s="1178" t="s">
        <v>5828</v>
      </c>
      <c r="G45" s="1178">
        <v>176521456</v>
      </c>
      <c r="H45" s="1181" t="s">
        <v>77</v>
      </c>
      <c r="I45" s="1178">
        <v>0.98431500000000005</v>
      </c>
      <c r="J45" s="1178">
        <v>4825</v>
      </c>
      <c r="K45" s="1178" t="s">
        <v>5826</v>
      </c>
      <c r="L45" s="1178" t="s">
        <v>5649</v>
      </c>
      <c r="M45" s="1180">
        <f>3545+12965+8625</f>
        <v>25135</v>
      </c>
      <c r="N45" s="1178" t="s">
        <v>23</v>
      </c>
      <c r="O45" s="1178">
        <v>0.23400000000000001</v>
      </c>
      <c r="P45" s="1178" t="s">
        <v>3172</v>
      </c>
      <c r="Q45" s="1179">
        <v>2.9999999999999999E-7</v>
      </c>
      <c r="R45" s="1178">
        <v>-6.2E-2</v>
      </c>
      <c r="S45" s="1178" t="s">
        <v>7</v>
      </c>
      <c r="T45" s="1177">
        <v>25865494</v>
      </c>
    </row>
    <row r="46" spans="1:20" x14ac:dyDescent="0.25">
      <c r="A46" s="1453"/>
      <c r="B46" s="1444"/>
      <c r="C46" s="1444"/>
      <c r="D46" s="1457"/>
      <c r="E46" s="1460"/>
      <c r="F46" s="1170" t="s">
        <v>79</v>
      </c>
      <c r="G46" s="1170">
        <v>176527577</v>
      </c>
      <c r="H46" s="1145" t="s">
        <v>5827</v>
      </c>
      <c r="I46" s="1170">
        <v>0.497614</v>
      </c>
      <c r="J46" s="1170">
        <v>10946</v>
      </c>
      <c r="K46" s="1170" t="s">
        <v>5826</v>
      </c>
      <c r="L46" s="1170" t="s">
        <v>5649</v>
      </c>
      <c r="M46" s="1172">
        <f>3545+12965+8625</f>
        <v>25135</v>
      </c>
      <c r="N46" s="1170" t="s">
        <v>23</v>
      </c>
      <c r="O46" s="1170">
        <v>0.36399999999999999</v>
      </c>
      <c r="P46" s="1170" t="s">
        <v>3558</v>
      </c>
      <c r="Q46" s="1171">
        <v>3.9999999999999998E-6</v>
      </c>
      <c r="R46" s="1170">
        <v>-4.8000000000000001E-2</v>
      </c>
      <c r="S46" s="1170" t="s">
        <v>7</v>
      </c>
      <c r="T46" s="1169">
        <v>25865494</v>
      </c>
    </row>
    <row r="47" spans="1:20" x14ac:dyDescent="0.25">
      <c r="A47" s="1451">
        <v>6</v>
      </c>
      <c r="B47" s="1454" t="s">
        <v>90</v>
      </c>
      <c r="C47" s="1454">
        <v>34827085</v>
      </c>
      <c r="D47" s="1455" t="s">
        <v>91</v>
      </c>
      <c r="E47" s="1458">
        <v>0.84709999999999996</v>
      </c>
      <c r="F47" s="1178" t="s">
        <v>5825</v>
      </c>
      <c r="G47" s="1178">
        <v>34552797</v>
      </c>
      <c r="H47" s="1181" t="s">
        <v>5824</v>
      </c>
      <c r="I47" s="1178">
        <v>0.60249200000000003</v>
      </c>
      <c r="J47" s="1178">
        <v>-274288</v>
      </c>
      <c r="K47" s="1178" t="s">
        <v>5707</v>
      </c>
      <c r="L47" s="1178" t="s">
        <v>289</v>
      </c>
      <c r="M47" s="1180">
        <f>99900</f>
        <v>99900</v>
      </c>
      <c r="N47" s="1178" t="s">
        <v>16</v>
      </c>
      <c r="O47" s="1178">
        <v>0.16</v>
      </c>
      <c r="P47" s="1178" t="s">
        <v>3558</v>
      </c>
      <c r="Q47" s="1179">
        <v>4.0000000000000002E-9</v>
      </c>
      <c r="R47" s="1178">
        <v>-0.49</v>
      </c>
      <c r="S47" s="1178" t="s">
        <v>1065</v>
      </c>
      <c r="T47" s="1177">
        <v>20686565</v>
      </c>
    </row>
    <row r="48" spans="1:20" x14ac:dyDescent="0.25">
      <c r="A48" s="1452"/>
      <c r="B48" s="1443"/>
      <c r="C48" s="1443"/>
      <c r="D48" s="1456"/>
      <c r="E48" s="1459"/>
      <c r="F48" s="1174" t="s">
        <v>5821</v>
      </c>
      <c r="G48" s="1174">
        <v>34563164</v>
      </c>
      <c r="H48" s="1148" t="s">
        <v>2379</v>
      </c>
      <c r="I48" s="1174">
        <v>0.49998199999999998</v>
      </c>
      <c r="J48" s="1174">
        <v>-263921</v>
      </c>
      <c r="K48" s="1174" t="s">
        <v>5823</v>
      </c>
      <c r="L48" s="1174" t="s">
        <v>5819</v>
      </c>
      <c r="M48" s="1176">
        <f>104666+132115+370+517+512+764+48274+39864+2441+-6314+-919+828+205+287+2964+658</f>
        <v>327232</v>
      </c>
      <c r="N48" s="1174" t="s">
        <v>24</v>
      </c>
      <c r="O48" s="1174">
        <v>0.27300000000000002</v>
      </c>
      <c r="P48" s="1174" t="s">
        <v>3172</v>
      </c>
      <c r="Q48" s="1175">
        <v>2.0000000000000001E-10</v>
      </c>
      <c r="R48" s="1174">
        <v>2.1999999999999999E-2</v>
      </c>
      <c r="S48" s="1174" t="s">
        <v>7</v>
      </c>
      <c r="T48" s="1173">
        <v>25673413</v>
      </c>
    </row>
    <row r="49" spans="1:20" x14ac:dyDescent="0.25">
      <c r="A49" s="1452"/>
      <c r="B49" s="1443"/>
      <c r="C49" s="1443"/>
      <c r="D49" s="1456"/>
      <c r="E49" s="1459"/>
      <c r="F49" s="1174" t="s">
        <v>5821</v>
      </c>
      <c r="G49" s="1174">
        <v>34563164</v>
      </c>
      <c r="H49" s="1148" t="s">
        <v>2379</v>
      </c>
      <c r="I49" s="1174">
        <v>0.49998199999999998</v>
      </c>
      <c r="J49" s="1174">
        <v>-263921</v>
      </c>
      <c r="K49" s="1174" t="s">
        <v>5822</v>
      </c>
      <c r="L49" s="1174" t="s">
        <v>5819</v>
      </c>
      <c r="M49" s="1176">
        <f>104666+132115+370+517+512+764+48274+39864+2441+-6314+-919+828+205+287+2964+658</f>
        <v>327232</v>
      </c>
      <c r="N49" s="1174" t="s">
        <v>24</v>
      </c>
      <c r="O49" s="1174">
        <v>0.28499999999999998</v>
      </c>
      <c r="P49" s="1174" t="s">
        <v>3172</v>
      </c>
      <c r="Q49" s="1175">
        <v>3E-10</v>
      </c>
      <c r="R49" s="1174">
        <v>2.1000000000000001E-2</v>
      </c>
      <c r="S49" s="1174" t="s">
        <v>7</v>
      </c>
      <c r="T49" s="1173">
        <v>25673413</v>
      </c>
    </row>
    <row r="50" spans="1:20" x14ac:dyDescent="0.25">
      <c r="A50" s="1452"/>
      <c r="B50" s="1443"/>
      <c r="C50" s="1443"/>
      <c r="D50" s="1456"/>
      <c r="E50" s="1459"/>
      <c r="F50" s="1174" t="s">
        <v>5821</v>
      </c>
      <c r="G50" s="1174">
        <v>34563164</v>
      </c>
      <c r="H50" s="1148" t="s">
        <v>2379</v>
      </c>
      <c r="I50" s="1174">
        <v>0.49998199999999998</v>
      </c>
      <c r="J50" s="1174">
        <v>-263921</v>
      </c>
      <c r="K50" s="1174" t="s">
        <v>5820</v>
      </c>
      <c r="L50" s="1174" t="s">
        <v>5819</v>
      </c>
      <c r="M50" s="1176">
        <f>104666+132115+370+517+512+764+48274+39864+2441+-6314+-919+828+205+287+2964+658</f>
        <v>327232</v>
      </c>
      <c r="N50" s="1174" t="s">
        <v>24</v>
      </c>
      <c r="O50" s="1174">
        <v>0.27200000000000002</v>
      </c>
      <c r="P50" s="1174" t="s">
        <v>3172</v>
      </c>
      <c r="Q50" s="1175">
        <v>2.0000000000000001E-9</v>
      </c>
      <c r="R50" s="1174">
        <v>2.7E-2</v>
      </c>
      <c r="S50" s="1174" t="s">
        <v>7</v>
      </c>
      <c r="T50" s="1173">
        <v>25673413</v>
      </c>
    </row>
    <row r="51" spans="1:20" x14ac:dyDescent="0.25">
      <c r="A51" s="1452"/>
      <c r="B51" s="1443"/>
      <c r="C51" s="1443"/>
      <c r="D51" s="1456"/>
      <c r="E51" s="1459"/>
      <c r="F51" s="1174" t="s">
        <v>5818</v>
      </c>
      <c r="G51" s="1174">
        <v>34581636</v>
      </c>
      <c r="H51" s="1148" t="s">
        <v>2379</v>
      </c>
      <c r="I51" s="1174">
        <v>0.51621499999999998</v>
      </c>
      <c r="J51" s="1174">
        <v>-245449</v>
      </c>
      <c r="K51" s="1174" t="s">
        <v>1991</v>
      </c>
      <c r="L51" s="1174" t="s">
        <v>289</v>
      </c>
      <c r="M51" s="1176">
        <f>8097+8099+4872+4831</f>
        <v>25899</v>
      </c>
      <c r="N51" s="1174" t="s">
        <v>24</v>
      </c>
      <c r="O51" s="1174">
        <v>0.15</v>
      </c>
      <c r="P51" s="1174" t="s">
        <v>3172</v>
      </c>
      <c r="Q51" s="1175">
        <v>8.0000000000000002E-13</v>
      </c>
      <c r="R51" s="1174">
        <v>1.26</v>
      </c>
      <c r="S51" s="1174" t="s">
        <v>7</v>
      </c>
      <c r="T51" s="1173">
        <v>23563607</v>
      </c>
    </row>
    <row r="52" spans="1:20" x14ac:dyDescent="0.25">
      <c r="A52" s="1452"/>
      <c r="B52" s="1443"/>
      <c r="C52" s="1443"/>
      <c r="D52" s="1456"/>
      <c r="E52" s="1459"/>
      <c r="F52" s="1174" t="s">
        <v>5817</v>
      </c>
      <c r="G52" s="1174">
        <v>34618893</v>
      </c>
      <c r="H52" s="1148" t="s">
        <v>2379</v>
      </c>
      <c r="I52" s="1174">
        <v>0.51257200000000003</v>
      </c>
      <c r="J52" s="1174">
        <v>-208192</v>
      </c>
      <c r="K52" s="1174" t="s">
        <v>1991</v>
      </c>
      <c r="L52" s="1174" t="s">
        <v>289</v>
      </c>
      <c r="M52" s="1176">
        <f>13665+16482</f>
        <v>30147</v>
      </c>
      <c r="N52" s="1174" t="s">
        <v>16</v>
      </c>
      <c r="O52" s="1174">
        <v>0.15</v>
      </c>
      <c r="P52" s="1174" t="s">
        <v>3172</v>
      </c>
      <c r="Q52" s="1175">
        <v>3.9999999999999999E-12</v>
      </c>
      <c r="R52" s="1174">
        <v>0.09</v>
      </c>
      <c r="S52" s="1174" t="s">
        <v>7</v>
      </c>
      <c r="T52" s="1173">
        <v>18391952</v>
      </c>
    </row>
    <row r="53" spans="1:20" ht="30" x14ac:dyDescent="0.25">
      <c r="A53" s="1452"/>
      <c r="B53" s="1443"/>
      <c r="C53" s="1443"/>
      <c r="D53" s="1456"/>
      <c r="E53" s="1459"/>
      <c r="F53" s="1174" t="s">
        <v>5816</v>
      </c>
      <c r="G53" s="1174">
        <v>34683635</v>
      </c>
      <c r="H53" s="1148" t="s">
        <v>5815</v>
      </c>
      <c r="I53" s="1174">
        <v>0.52965099999999998</v>
      </c>
      <c r="J53" s="1174">
        <v>-143450</v>
      </c>
      <c r="K53" s="1174" t="s">
        <v>5814</v>
      </c>
      <c r="L53" s="1174" t="s">
        <v>289</v>
      </c>
      <c r="M53" s="1176">
        <f>133653+50074</f>
        <v>183727</v>
      </c>
      <c r="N53" s="1174" t="s">
        <v>5639</v>
      </c>
      <c r="O53" s="1174" t="s">
        <v>5639</v>
      </c>
      <c r="P53" s="1174" t="s">
        <v>5657</v>
      </c>
      <c r="Q53" s="1175">
        <v>6.0000000000000003E-12</v>
      </c>
      <c r="R53" s="1174" t="s">
        <v>5639</v>
      </c>
      <c r="S53" s="1182" t="s">
        <v>35</v>
      </c>
      <c r="T53" s="1173">
        <v>20881960</v>
      </c>
    </row>
    <row r="54" spans="1:20" x14ac:dyDescent="0.25">
      <c r="A54" s="1452"/>
      <c r="B54" s="1443"/>
      <c r="C54" s="1443"/>
      <c r="D54" s="1456"/>
      <c r="E54" s="1459"/>
      <c r="F54" s="1174" t="s">
        <v>5813</v>
      </c>
      <c r="G54" s="1174">
        <v>34697114</v>
      </c>
      <c r="H54" s="1148" t="s">
        <v>5812</v>
      </c>
      <c r="I54" s="1174">
        <v>0.32119599999999998</v>
      </c>
      <c r="J54" s="1174">
        <v>-129971</v>
      </c>
      <c r="K54" s="1174" t="s">
        <v>5707</v>
      </c>
      <c r="L54" s="1174" t="s">
        <v>289</v>
      </c>
      <c r="M54" s="1176">
        <f>62166</f>
        <v>62166</v>
      </c>
      <c r="N54" s="1174" t="s">
        <v>23</v>
      </c>
      <c r="O54" s="1174">
        <v>0.77</v>
      </c>
      <c r="P54" s="1174" t="s">
        <v>5708</v>
      </c>
      <c r="Q54" s="1175">
        <v>6E-10</v>
      </c>
      <c r="R54" s="1174">
        <v>4.3999999999999997E-2</v>
      </c>
      <c r="S54" s="1174" t="s">
        <v>1065</v>
      </c>
      <c r="T54" s="1173">
        <v>25961943</v>
      </c>
    </row>
    <row r="55" spans="1:20" x14ac:dyDescent="0.25">
      <c r="A55" s="1452"/>
      <c r="B55" s="1443"/>
      <c r="C55" s="1443"/>
      <c r="D55" s="1456"/>
      <c r="E55" s="1459"/>
      <c r="F55" s="1174" t="s">
        <v>5811</v>
      </c>
      <c r="G55" s="1174">
        <v>34714322</v>
      </c>
      <c r="H55" s="1148" t="s">
        <v>5810</v>
      </c>
      <c r="I55" s="1174">
        <v>0.33185199999999998</v>
      </c>
      <c r="J55" s="1174">
        <v>-112763</v>
      </c>
      <c r="K55" s="1174" t="s">
        <v>5809</v>
      </c>
      <c r="L55" s="1174" t="s">
        <v>289</v>
      </c>
      <c r="M55" s="1176">
        <f>725+2438</f>
        <v>3163</v>
      </c>
      <c r="N55" s="1174" t="s">
        <v>24</v>
      </c>
      <c r="O55" s="1174">
        <v>0.35</v>
      </c>
      <c r="P55" s="1174" t="s">
        <v>3558</v>
      </c>
      <c r="Q55" s="1175">
        <v>6.9999999999999999E-6</v>
      </c>
      <c r="R55" s="1174">
        <v>1.28</v>
      </c>
      <c r="S55" s="1174" t="s">
        <v>7</v>
      </c>
      <c r="T55" s="1173">
        <v>24871463</v>
      </c>
    </row>
    <row r="56" spans="1:20" ht="30" x14ac:dyDescent="0.25">
      <c r="A56" s="1452"/>
      <c r="B56" s="1443"/>
      <c r="C56" s="1443"/>
      <c r="D56" s="1456"/>
      <c r="E56" s="1459"/>
      <c r="F56" s="1174" t="s">
        <v>5808</v>
      </c>
      <c r="G56" s="1174">
        <v>34763982</v>
      </c>
      <c r="H56" s="1148" t="s">
        <v>91</v>
      </c>
      <c r="I56" s="1174">
        <v>0.81740299999999999</v>
      </c>
      <c r="J56" s="1174">
        <v>-63103</v>
      </c>
      <c r="K56" s="1174" t="s">
        <v>5807</v>
      </c>
      <c r="L56" s="1174" t="s">
        <v>289</v>
      </c>
      <c r="M56" s="1176">
        <f>5043+5756</f>
        <v>10799</v>
      </c>
      <c r="N56" s="1174" t="s">
        <v>17</v>
      </c>
      <c r="O56" s="1174">
        <v>0.88</v>
      </c>
      <c r="P56" s="1174" t="s">
        <v>3172</v>
      </c>
      <c r="Q56" s="1175">
        <v>8.9999999999999999E-8</v>
      </c>
      <c r="R56" s="1174">
        <v>-0.12</v>
      </c>
      <c r="S56" s="1174" t="s">
        <v>7</v>
      </c>
      <c r="T56" s="1173">
        <v>23449627</v>
      </c>
    </row>
    <row r="57" spans="1:20" ht="30" x14ac:dyDescent="0.25">
      <c r="A57" s="1452"/>
      <c r="B57" s="1443"/>
      <c r="C57" s="1443"/>
      <c r="D57" s="1456"/>
      <c r="E57" s="1459"/>
      <c r="F57" s="1174" t="s">
        <v>5806</v>
      </c>
      <c r="G57" s="1174">
        <v>34923864</v>
      </c>
      <c r="H57" s="1148" t="s">
        <v>5805</v>
      </c>
      <c r="I57" s="1174">
        <v>0.24707899999999999</v>
      </c>
      <c r="J57" s="1174">
        <v>96779</v>
      </c>
      <c r="K57" s="1174" t="s">
        <v>5804</v>
      </c>
      <c r="L57" s="1174" t="s">
        <v>614</v>
      </c>
      <c r="M57" s="1176">
        <f>348</f>
        <v>348</v>
      </c>
      <c r="N57" s="1174" t="s">
        <v>5639</v>
      </c>
      <c r="O57" s="1174" t="s">
        <v>5639</v>
      </c>
      <c r="P57" s="1174" t="s">
        <v>3172</v>
      </c>
      <c r="Q57" s="1175">
        <v>6.0000000000000002E-6</v>
      </c>
      <c r="R57" s="1174" t="s">
        <v>5639</v>
      </c>
      <c r="S57" s="1182" t="s">
        <v>35</v>
      </c>
      <c r="T57" s="1173">
        <v>23144319</v>
      </c>
    </row>
    <row r="58" spans="1:20" x14ac:dyDescent="0.25">
      <c r="A58" s="1453"/>
      <c r="B58" s="1444"/>
      <c r="C58" s="1444"/>
      <c r="D58" s="1457"/>
      <c r="E58" s="1460"/>
      <c r="F58" s="1170" t="s">
        <v>5803</v>
      </c>
      <c r="G58" s="1170">
        <v>35341850</v>
      </c>
      <c r="H58" s="1145" t="s">
        <v>5802</v>
      </c>
      <c r="I58" s="1170">
        <v>0.20257600000000001</v>
      </c>
      <c r="J58" s="1170">
        <v>514765</v>
      </c>
      <c r="K58" s="1170" t="s">
        <v>1991</v>
      </c>
      <c r="L58" s="1170" t="s">
        <v>5718</v>
      </c>
      <c r="M58" s="1172">
        <f>20427+16436</f>
        <v>36863</v>
      </c>
      <c r="N58" s="1170" t="s">
        <v>23</v>
      </c>
      <c r="O58" s="1170">
        <v>0.17</v>
      </c>
      <c r="P58" s="1170" t="s">
        <v>3172</v>
      </c>
      <c r="Q58" s="1171">
        <v>9.9999999999999994E-12</v>
      </c>
      <c r="R58" s="1170">
        <v>-8.1000000000000003E-2</v>
      </c>
      <c r="S58" s="1170" t="s">
        <v>1065</v>
      </c>
      <c r="T58" s="1169">
        <v>21998595</v>
      </c>
    </row>
    <row r="59" spans="1:20" x14ac:dyDescent="0.25">
      <c r="A59" s="1451">
        <v>6</v>
      </c>
      <c r="B59" s="1454" t="s">
        <v>95</v>
      </c>
      <c r="C59" s="1454">
        <v>127476516</v>
      </c>
      <c r="D59" s="1455" t="s">
        <v>923</v>
      </c>
      <c r="E59" s="1458">
        <v>0.54290000000000005</v>
      </c>
      <c r="F59" s="1178" t="s">
        <v>5801</v>
      </c>
      <c r="G59" s="1178">
        <v>127391844</v>
      </c>
      <c r="H59" s="1181" t="s">
        <v>5796</v>
      </c>
      <c r="I59" s="1178">
        <v>0.32394899999999999</v>
      </c>
      <c r="J59" s="1178">
        <v>-84672</v>
      </c>
      <c r="K59" s="1178" t="s">
        <v>5800</v>
      </c>
      <c r="L59" s="1178" t="s">
        <v>289</v>
      </c>
      <c r="M59" s="1180">
        <f>411+150</f>
        <v>561</v>
      </c>
      <c r="N59" s="1178" t="s">
        <v>5639</v>
      </c>
      <c r="O59" s="1178" t="s">
        <v>5639</v>
      </c>
      <c r="P59" s="1178" t="s">
        <v>5708</v>
      </c>
      <c r="Q59" s="1179">
        <v>1.9999999999999999E-6</v>
      </c>
      <c r="R59" s="1174" t="s">
        <v>5639</v>
      </c>
      <c r="S59" s="1182" t="s">
        <v>35</v>
      </c>
      <c r="T59" s="1177">
        <v>19084217</v>
      </c>
    </row>
    <row r="60" spans="1:20" x14ac:dyDescent="0.25">
      <c r="A60" s="1452"/>
      <c r="B60" s="1443"/>
      <c r="C60" s="1443"/>
      <c r="D60" s="1456"/>
      <c r="E60" s="1459"/>
      <c r="F60" s="1174" t="s">
        <v>5797</v>
      </c>
      <c r="G60" s="1174">
        <v>127436064</v>
      </c>
      <c r="H60" s="1148" t="s">
        <v>5796</v>
      </c>
      <c r="I60" s="1174">
        <v>0.72909400000000002</v>
      </c>
      <c r="J60" s="1174">
        <v>-40452</v>
      </c>
      <c r="K60" s="1174" t="s">
        <v>5707</v>
      </c>
      <c r="L60" s="1174" t="s">
        <v>289</v>
      </c>
      <c r="M60" s="1176">
        <f>94595+93982</f>
        <v>188577</v>
      </c>
      <c r="N60" s="1174" t="s">
        <v>17</v>
      </c>
      <c r="O60" s="1174">
        <v>0.49</v>
      </c>
      <c r="P60" s="1174" t="s">
        <v>3453</v>
      </c>
      <c r="Q60" s="1175">
        <v>3E-10</v>
      </c>
      <c r="R60" s="1174">
        <v>0.02</v>
      </c>
      <c r="S60" s="1182" t="s">
        <v>35</v>
      </c>
      <c r="T60" s="1173">
        <v>24097068</v>
      </c>
    </row>
    <row r="61" spans="1:20" x14ac:dyDescent="0.25">
      <c r="A61" s="1452"/>
      <c r="B61" s="1443"/>
      <c r="C61" s="1443"/>
      <c r="D61" s="1456"/>
      <c r="E61" s="1459"/>
      <c r="F61" s="1174" t="s">
        <v>5797</v>
      </c>
      <c r="G61" s="1174">
        <v>127436064</v>
      </c>
      <c r="H61" s="1148" t="s">
        <v>5796</v>
      </c>
      <c r="I61" s="1174">
        <v>0.72909400000000002</v>
      </c>
      <c r="J61" s="1174">
        <v>-40452</v>
      </c>
      <c r="K61" s="1174" t="s">
        <v>5799</v>
      </c>
      <c r="L61" s="1174" t="s">
        <v>5798</v>
      </c>
      <c r="M61" s="1176">
        <f>39717+17461</f>
        <v>57178</v>
      </c>
      <c r="N61" s="1174" t="s">
        <v>23</v>
      </c>
      <c r="O61" s="1174">
        <v>0.5</v>
      </c>
      <c r="P61" s="1174" t="s">
        <v>3453</v>
      </c>
      <c r="Q61" s="1175">
        <v>9.9999999999999994E-12</v>
      </c>
      <c r="R61" s="1174">
        <v>5.1999999999999998E-3</v>
      </c>
      <c r="S61" s="1182" t="s">
        <v>35</v>
      </c>
      <c r="T61" s="1173">
        <v>22797727</v>
      </c>
    </row>
    <row r="62" spans="1:20" x14ac:dyDescent="0.25">
      <c r="A62" s="1452"/>
      <c r="B62" s="1443"/>
      <c r="C62" s="1443"/>
      <c r="D62" s="1456"/>
      <c r="E62" s="1459"/>
      <c r="F62" s="1174" t="s">
        <v>5797</v>
      </c>
      <c r="G62" s="1174">
        <v>127436064</v>
      </c>
      <c r="H62" s="1148" t="s">
        <v>5796</v>
      </c>
      <c r="I62" s="1174">
        <v>0.72909400000000002</v>
      </c>
      <c r="J62" s="1174">
        <v>-40452</v>
      </c>
      <c r="K62" s="1174" t="s">
        <v>2001</v>
      </c>
      <c r="L62" s="1174" t="s">
        <v>289</v>
      </c>
      <c r="M62" s="1176">
        <f>94595+93982</f>
        <v>188577</v>
      </c>
      <c r="N62" s="1174" t="s">
        <v>17</v>
      </c>
      <c r="O62" s="1174">
        <v>0.49</v>
      </c>
      <c r="P62" s="1174" t="s">
        <v>3453</v>
      </c>
      <c r="Q62" s="1175">
        <v>2.9999999999999997E-8</v>
      </c>
      <c r="R62" s="1174">
        <v>-0.02</v>
      </c>
      <c r="S62" s="1182" t="s">
        <v>35</v>
      </c>
      <c r="T62" s="1173">
        <v>24097068</v>
      </c>
    </row>
    <row r="63" spans="1:20" x14ac:dyDescent="0.25">
      <c r="A63" s="1452"/>
      <c r="B63" s="1443"/>
      <c r="C63" s="1443"/>
      <c r="D63" s="1456"/>
      <c r="E63" s="1459"/>
      <c r="F63" s="1174" t="s">
        <v>5795</v>
      </c>
      <c r="G63" s="1174">
        <v>127456122</v>
      </c>
      <c r="H63" s="1148" t="s">
        <v>5786</v>
      </c>
      <c r="I63" s="1174">
        <v>0.52050799999999997</v>
      </c>
      <c r="J63" s="1174">
        <v>-20394</v>
      </c>
      <c r="K63" s="1174" t="s">
        <v>5675</v>
      </c>
      <c r="L63" s="1174" t="s">
        <v>289</v>
      </c>
      <c r="M63" s="1176">
        <f>12924+21442+25683+17015</f>
        <v>77064</v>
      </c>
      <c r="N63" s="1174" t="s">
        <v>24</v>
      </c>
      <c r="O63" s="1174">
        <v>0.439</v>
      </c>
      <c r="P63" s="1174" t="s">
        <v>3172</v>
      </c>
      <c r="Q63" s="1175">
        <v>4.0000000000000001E-10</v>
      </c>
      <c r="R63" s="1174">
        <v>1.077</v>
      </c>
      <c r="S63" s="1182" t="s">
        <v>35</v>
      </c>
      <c r="T63" s="1173">
        <v>23128233</v>
      </c>
    </row>
    <row r="64" spans="1:20" x14ac:dyDescent="0.25">
      <c r="A64" s="1452"/>
      <c r="B64" s="1443"/>
      <c r="C64" s="1443"/>
      <c r="D64" s="1456"/>
      <c r="E64" s="1459"/>
      <c r="F64" s="1174" t="s">
        <v>5794</v>
      </c>
      <c r="G64" s="1174">
        <v>127457260</v>
      </c>
      <c r="H64" s="1148" t="s">
        <v>5790</v>
      </c>
      <c r="I64" s="1174">
        <v>0.739811</v>
      </c>
      <c r="J64" s="1174">
        <v>-19256</v>
      </c>
      <c r="K64" s="1174" t="s">
        <v>5690</v>
      </c>
      <c r="L64" s="1174" t="s">
        <v>5688</v>
      </c>
      <c r="M64" s="1176">
        <f>5956+14927+14594+26715+151+342+184+990+1690+3719</f>
        <v>69268</v>
      </c>
      <c r="N64" s="1174" t="s">
        <v>16</v>
      </c>
      <c r="O64" s="1174">
        <v>0.54</v>
      </c>
      <c r="P64" s="1174" t="s">
        <v>3172</v>
      </c>
      <c r="Q64" s="1175">
        <v>5.9999999999999995E-8</v>
      </c>
      <c r="R64" s="1174">
        <v>1.0676966000000001</v>
      </c>
      <c r="S64" s="1182" t="s">
        <v>35</v>
      </c>
      <c r="T64" s="1173">
        <v>26192919</v>
      </c>
    </row>
    <row r="65" spans="1:20" x14ac:dyDescent="0.25">
      <c r="A65" s="1452"/>
      <c r="B65" s="1443"/>
      <c r="C65" s="1443"/>
      <c r="D65" s="1456"/>
      <c r="E65" s="1459"/>
      <c r="F65" s="1174" t="s">
        <v>5791</v>
      </c>
      <c r="G65" s="1174">
        <v>127468274</v>
      </c>
      <c r="H65" s="1148" t="s">
        <v>5790</v>
      </c>
      <c r="I65" s="1174">
        <v>0.55089999999999995</v>
      </c>
      <c r="J65" s="1174">
        <v>-8242</v>
      </c>
      <c r="K65" s="1174" t="s">
        <v>5793</v>
      </c>
      <c r="L65" s="1174" t="s">
        <v>289</v>
      </c>
      <c r="M65" s="1176">
        <f>4556+2236</f>
        <v>6792</v>
      </c>
      <c r="N65" s="1174" t="s">
        <v>5639</v>
      </c>
      <c r="O65" s="1174" t="s">
        <v>5639</v>
      </c>
      <c r="P65" s="1174" t="s">
        <v>3172</v>
      </c>
      <c r="Q65" s="1175">
        <v>4.0000000000000001E-8</v>
      </c>
      <c r="R65" s="1174" t="s">
        <v>5639</v>
      </c>
      <c r="S65" s="1182" t="s">
        <v>35</v>
      </c>
      <c r="T65" s="1173">
        <v>24430505</v>
      </c>
    </row>
    <row r="66" spans="1:20" x14ac:dyDescent="0.25">
      <c r="A66" s="1452"/>
      <c r="B66" s="1443"/>
      <c r="C66" s="1443"/>
      <c r="D66" s="1456"/>
      <c r="E66" s="1459"/>
      <c r="F66" s="1174" t="s">
        <v>5791</v>
      </c>
      <c r="G66" s="1174">
        <v>127468274</v>
      </c>
      <c r="H66" s="1148" t="s">
        <v>5790</v>
      </c>
      <c r="I66" s="1174">
        <v>0.55089999999999995</v>
      </c>
      <c r="J66" s="1174">
        <v>-8242</v>
      </c>
      <c r="K66" s="1174" t="s">
        <v>5792</v>
      </c>
      <c r="L66" s="1174" t="s">
        <v>5788</v>
      </c>
      <c r="M66" s="1176">
        <f>730+2380+11150+11058+2870+21439</f>
        <v>49627</v>
      </c>
      <c r="N66" s="1174" t="s">
        <v>17</v>
      </c>
      <c r="O66" s="1174">
        <v>0.47</v>
      </c>
      <c r="P66" s="1174" t="s">
        <v>3172</v>
      </c>
      <c r="Q66" s="1175">
        <v>8.9999999999999994E-21</v>
      </c>
      <c r="R66" s="1174">
        <v>0.06</v>
      </c>
      <c r="S66" s="1182" t="s">
        <v>35</v>
      </c>
      <c r="T66" s="1173">
        <v>24430505</v>
      </c>
    </row>
    <row r="67" spans="1:20" x14ac:dyDescent="0.25">
      <c r="A67" s="1452"/>
      <c r="B67" s="1443"/>
      <c r="C67" s="1443"/>
      <c r="D67" s="1456"/>
      <c r="E67" s="1459"/>
      <c r="F67" s="1174" t="s">
        <v>5791</v>
      </c>
      <c r="G67" s="1174">
        <v>127468274</v>
      </c>
      <c r="H67" s="1148" t="s">
        <v>5790</v>
      </c>
      <c r="I67" s="1174">
        <v>0.55089999999999995</v>
      </c>
      <c r="J67" s="1174">
        <v>-8242</v>
      </c>
      <c r="K67" s="1174" t="s">
        <v>5789</v>
      </c>
      <c r="L67" s="1174" t="s">
        <v>5788</v>
      </c>
      <c r="M67" s="1176">
        <f>2483+1885+11146+10074+2870+21434</f>
        <v>49892</v>
      </c>
      <c r="N67" s="1174" t="s">
        <v>17</v>
      </c>
      <c r="O67" s="1174">
        <v>0.47</v>
      </c>
      <c r="P67" s="1174" t="s">
        <v>3172</v>
      </c>
      <c r="Q67" s="1175">
        <v>9.9999999999999998E-20</v>
      </c>
      <c r="R67" s="1174">
        <v>0.06</v>
      </c>
      <c r="S67" s="1182" t="s">
        <v>35</v>
      </c>
      <c r="T67" s="1173">
        <v>24430505</v>
      </c>
    </row>
    <row r="68" spans="1:20" x14ac:dyDescent="0.25">
      <c r="A68" s="1453"/>
      <c r="B68" s="1444"/>
      <c r="C68" s="1444"/>
      <c r="D68" s="1457"/>
      <c r="E68" s="1460"/>
      <c r="F68" s="1170" t="s">
        <v>5787</v>
      </c>
      <c r="G68" s="1170">
        <v>127493611</v>
      </c>
      <c r="H68" s="1145" t="s">
        <v>5786</v>
      </c>
      <c r="I68" s="1170">
        <v>0.91016900000000001</v>
      </c>
      <c r="J68" s="1170">
        <v>17095</v>
      </c>
      <c r="K68" s="1170" t="s">
        <v>5785</v>
      </c>
      <c r="L68" s="1170" t="s">
        <v>614</v>
      </c>
      <c r="M68" s="1172">
        <f>12545+30395</f>
        <v>42940</v>
      </c>
      <c r="N68" s="1170" t="s">
        <v>16</v>
      </c>
      <c r="O68" s="1170">
        <v>0.47</v>
      </c>
      <c r="P68" s="1170" t="s">
        <v>3172</v>
      </c>
      <c r="Q68" s="1171">
        <v>1E-8</v>
      </c>
      <c r="R68" s="1170">
        <v>-8.9999999999999993E-3</v>
      </c>
      <c r="S68" s="1194" t="s">
        <v>35</v>
      </c>
      <c r="T68" s="1169">
        <v>21909109</v>
      </c>
    </row>
    <row r="69" spans="1:20" x14ac:dyDescent="0.25">
      <c r="A69" s="1451">
        <v>7</v>
      </c>
      <c r="B69" s="1454" t="s">
        <v>106</v>
      </c>
      <c r="C69" s="1454">
        <v>73012042</v>
      </c>
      <c r="D69" s="1455" t="s">
        <v>107</v>
      </c>
      <c r="E69" s="1458">
        <v>0.87970000000000004</v>
      </c>
      <c r="F69" s="1178" t="s">
        <v>2398</v>
      </c>
      <c r="G69" s="1178">
        <v>72856269</v>
      </c>
      <c r="H69" s="1181" t="s">
        <v>5776</v>
      </c>
      <c r="I69" s="1178">
        <v>0.74943199999999999</v>
      </c>
      <c r="J69" s="1178">
        <v>-155773</v>
      </c>
      <c r="K69" s="1178" t="s">
        <v>5784</v>
      </c>
      <c r="L69" s="1178" t="s">
        <v>289</v>
      </c>
      <c r="M69" s="1180">
        <f>47431</f>
        <v>47431</v>
      </c>
      <c r="N69" s="1178" t="s">
        <v>16</v>
      </c>
      <c r="O69" s="1178">
        <v>0.12</v>
      </c>
      <c r="P69" s="1178" t="s">
        <v>5670</v>
      </c>
      <c r="Q69" s="1179">
        <v>9.9999999999999995E-7</v>
      </c>
      <c r="R69" s="1178">
        <v>0.1109</v>
      </c>
      <c r="S69" s="1178" t="s">
        <v>7</v>
      </c>
      <c r="T69" s="1177">
        <v>21490707</v>
      </c>
    </row>
    <row r="70" spans="1:20" x14ac:dyDescent="0.25">
      <c r="A70" s="1452"/>
      <c r="B70" s="1443"/>
      <c r="C70" s="1443"/>
      <c r="D70" s="1456"/>
      <c r="E70" s="1459"/>
      <c r="F70" s="1174" t="s">
        <v>5782</v>
      </c>
      <c r="G70" s="1174">
        <v>72856430</v>
      </c>
      <c r="H70" s="1148" t="s">
        <v>5776</v>
      </c>
      <c r="I70" s="1174">
        <v>0.36168699999999998</v>
      </c>
      <c r="J70" s="1174">
        <v>-155612</v>
      </c>
      <c r="K70" s="1174" t="s">
        <v>2001</v>
      </c>
      <c r="L70" s="1174" t="s">
        <v>289</v>
      </c>
      <c r="M70" s="1176">
        <f>17723+37774+9665</f>
        <v>65162</v>
      </c>
      <c r="N70" s="1174" t="s">
        <v>16</v>
      </c>
      <c r="O70" s="1174">
        <v>0.8</v>
      </c>
      <c r="P70" s="1174" t="s">
        <v>5670</v>
      </c>
      <c r="Q70" s="1175">
        <v>2E-12</v>
      </c>
      <c r="R70" s="1174">
        <v>0.05</v>
      </c>
      <c r="S70" s="1174" t="s">
        <v>1065</v>
      </c>
      <c r="T70" s="1173">
        <v>20864672</v>
      </c>
    </row>
    <row r="71" spans="1:20" x14ac:dyDescent="0.25">
      <c r="A71" s="1452"/>
      <c r="B71" s="1443"/>
      <c r="C71" s="1443"/>
      <c r="D71" s="1456"/>
      <c r="E71" s="1459"/>
      <c r="F71" s="1174" t="s">
        <v>5781</v>
      </c>
      <c r="G71" s="1174">
        <v>72857049</v>
      </c>
      <c r="H71" s="1148" t="s">
        <v>5776</v>
      </c>
      <c r="I71" s="1174">
        <v>0.36035899999999998</v>
      </c>
      <c r="J71" s="1174">
        <v>-154993</v>
      </c>
      <c r="K71" s="1174" t="s">
        <v>5780</v>
      </c>
      <c r="L71" s="1174" t="s">
        <v>289</v>
      </c>
      <c r="M71" s="1176">
        <f>49825+60522+32813</f>
        <v>143160</v>
      </c>
      <c r="N71" s="1174" t="s">
        <v>16</v>
      </c>
      <c r="O71" s="1174">
        <v>0.81</v>
      </c>
      <c r="P71" s="1174" t="s">
        <v>5779</v>
      </c>
      <c r="Q71" s="1175">
        <v>9.9999999999999998E-13</v>
      </c>
      <c r="R71" s="1174">
        <v>4.7E-2</v>
      </c>
      <c r="S71" s="1174" t="s">
        <v>1065</v>
      </c>
      <c r="T71" s="1173">
        <v>23263486</v>
      </c>
    </row>
    <row r="72" spans="1:20" x14ac:dyDescent="0.25">
      <c r="A72" s="1452"/>
      <c r="B72" s="1443"/>
      <c r="C72" s="1443"/>
      <c r="D72" s="1456"/>
      <c r="E72" s="1459"/>
      <c r="F72" s="1174" t="s">
        <v>5778</v>
      </c>
      <c r="G72" s="1174">
        <v>72864869</v>
      </c>
      <c r="H72" s="1148" t="s">
        <v>5776</v>
      </c>
      <c r="I72" s="1174">
        <v>0.75689200000000001</v>
      </c>
      <c r="J72" s="1174">
        <v>-147173</v>
      </c>
      <c r="K72" s="1174" t="s">
        <v>2001</v>
      </c>
      <c r="L72" s="1174" t="s">
        <v>289</v>
      </c>
      <c r="M72" s="1176">
        <f>19840+20623</f>
        <v>40463</v>
      </c>
      <c r="N72" s="1174" t="s">
        <v>24</v>
      </c>
      <c r="O72" s="1174">
        <v>0.12</v>
      </c>
      <c r="P72" s="1174" t="s">
        <v>3172</v>
      </c>
      <c r="Q72" s="1175">
        <v>2.9999999999999998E-15</v>
      </c>
      <c r="R72" s="1174">
        <v>-0.16</v>
      </c>
      <c r="S72" s="1174" t="s">
        <v>1065</v>
      </c>
      <c r="T72" s="1173">
        <v>19060906</v>
      </c>
    </row>
    <row r="73" spans="1:20" x14ac:dyDescent="0.25">
      <c r="A73" s="1452"/>
      <c r="B73" s="1443"/>
      <c r="C73" s="1443"/>
      <c r="D73" s="1456"/>
      <c r="E73" s="1459"/>
      <c r="F73" s="1174" t="s">
        <v>5777</v>
      </c>
      <c r="G73" s="1174">
        <v>72904810</v>
      </c>
      <c r="H73" s="1148" t="s">
        <v>5776</v>
      </c>
      <c r="I73" s="1174">
        <v>0.36396699999999998</v>
      </c>
      <c r="J73" s="1174">
        <v>-107232</v>
      </c>
      <c r="K73" s="1174" t="s">
        <v>5775</v>
      </c>
      <c r="L73" s="1174" t="s">
        <v>289</v>
      </c>
      <c r="M73" s="1176">
        <f>8048+1376</f>
        <v>9424</v>
      </c>
      <c r="N73" s="1174" t="s">
        <v>23</v>
      </c>
      <c r="O73" s="1174">
        <v>0.2</v>
      </c>
      <c r="P73" s="1174" t="s">
        <v>3172</v>
      </c>
      <c r="Q73" s="1175">
        <v>2.9999999999999997E-8</v>
      </c>
      <c r="R73" s="1174">
        <v>-0.06</v>
      </c>
      <c r="S73" s="1174" t="s">
        <v>1065</v>
      </c>
      <c r="T73" s="1173">
        <v>20802025</v>
      </c>
    </row>
    <row r="74" spans="1:20" x14ac:dyDescent="0.25">
      <c r="A74" s="1452"/>
      <c r="B74" s="1443"/>
      <c r="C74" s="1443"/>
      <c r="D74" s="1456"/>
      <c r="E74" s="1459"/>
      <c r="F74" s="1174" t="s">
        <v>5774</v>
      </c>
      <c r="G74" s="1174">
        <v>72971231</v>
      </c>
      <c r="H74" s="1148" t="s">
        <v>2399</v>
      </c>
      <c r="I74" s="1174">
        <v>0.82889900000000005</v>
      </c>
      <c r="J74" s="1174">
        <v>-40811</v>
      </c>
      <c r="K74" s="1174" t="s">
        <v>5773</v>
      </c>
      <c r="L74" s="1174" t="s">
        <v>289</v>
      </c>
      <c r="M74" s="1176">
        <f>63678+1792+715+16540</f>
        <v>82725</v>
      </c>
      <c r="N74" s="1174" t="s">
        <v>17</v>
      </c>
      <c r="O74" s="1174" t="s">
        <v>5639</v>
      </c>
      <c r="P74" s="1174" t="s">
        <v>3172</v>
      </c>
      <c r="Q74" s="1175">
        <v>4.0000000000000002E-9</v>
      </c>
      <c r="R74" s="1174">
        <v>5.3999999999999999E-2</v>
      </c>
      <c r="S74" s="1182" t="s">
        <v>35</v>
      </c>
      <c r="T74" s="1173">
        <v>21300955</v>
      </c>
    </row>
    <row r="75" spans="1:20" x14ac:dyDescent="0.25">
      <c r="A75" s="1452"/>
      <c r="B75" s="1443"/>
      <c r="C75" s="1443"/>
      <c r="D75" s="1456"/>
      <c r="E75" s="1459"/>
      <c r="F75" s="1174" t="s">
        <v>5772</v>
      </c>
      <c r="G75" s="1174">
        <v>72977898</v>
      </c>
      <c r="H75" s="1148" t="s">
        <v>5768</v>
      </c>
      <c r="I75" s="1174">
        <v>0.27868100000000001</v>
      </c>
      <c r="J75" s="1174">
        <v>-34144</v>
      </c>
      <c r="K75" s="1174" t="s">
        <v>5771</v>
      </c>
      <c r="L75" s="1174" t="s">
        <v>614</v>
      </c>
      <c r="M75" s="1176">
        <f>12545+30395</f>
        <v>42940</v>
      </c>
      <c r="N75" s="1174" t="s">
        <v>17</v>
      </c>
      <c r="O75" s="1174">
        <v>0.1</v>
      </c>
      <c r="P75" s="1174" t="s">
        <v>5708</v>
      </c>
      <c r="Q75" s="1175">
        <v>6E-10</v>
      </c>
      <c r="R75" s="1174">
        <v>5.1000000000000004E-3</v>
      </c>
      <c r="S75" s="1174" t="s">
        <v>7</v>
      </c>
      <c r="T75" s="1173">
        <v>21909109</v>
      </c>
    </row>
    <row r="76" spans="1:20" x14ac:dyDescent="0.25">
      <c r="A76" s="1452"/>
      <c r="B76" s="1443"/>
      <c r="C76" s="1443"/>
      <c r="D76" s="1456"/>
      <c r="E76" s="1459"/>
      <c r="F76" s="1174" t="s">
        <v>5769</v>
      </c>
      <c r="G76" s="1174">
        <v>72982874</v>
      </c>
      <c r="H76" s="1148" t="s">
        <v>5768</v>
      </c>
      <c r="I76" s="1174">
        <v>0.88109300000000002</v>
      </c>
      <c r="J76" s="1174">
        <v>-29168</v>
      </c>
      <c r="K76" s="1174" t="s">
        <v>2001</v>
      </c>
      <c r="L76" s="1174" t="s">
        <v>5639</v>
      </c>
      <c r="M76" s="1176">
        <f>2758+18544</f>
        <v>21302</v>
      </c>
      <c r="N76" s="1174" t="s">
        <v>23</v>
      </c>
      <c r="O76" s="1174">
        <v>0.13</v>
      </c>
      <c r="P76" s="1174" t="s">
        <v>3558</v>
      </c>
      <c r="Q76" s="1175">
        <v>7.0000000000000001E-22</v>
      </c>
      <c r="R76" s="1174">
        <v>-0.14000000000000001</v>
      </c>
      <c r="S76" s="1174" t="s">
        <v>1065</v>
      </c>
      <c r="T76" s="1173">
        <v>18193044</v>
      </c>
    </row>
    <row r="77" spans="1:20" ht="30" x14ac:dyDescent="0.25">
      <c r="A77" s="1452"/>
      <c r="B77" s="1443"/>
      <c r="C77" s="1443"/>
      <c r="D77" s="1456"/>
      <c r="E77" s="1459"/>
      <c r="F77" s="1174" t="s">
        <v>5767</v>
      </c>
      <c r="G77" s="1174">
        <v>72987354</v>
      </c>
      <c r="H77" s="1148" t="s">
        <v>2396</v>
      </c>
      <c r="I77" s="1174">
        <v>0.285136</v>
      </c>
      <c r="J77" s="1174">
        <v>-24688</v>
      </c>
      <c r="K77" s="1174" t="s">
        <v>2001</v>
      </c>
      <c r="L77" s="1174" t="s">
        <v>614</v>
      </c>
      <c r="M77" s="1176">
        <f>12545+30395</f>
        <v>42940</v>
      </c>
      <c r="N77" s="1174" t="s">
        <v>23</v>
      </c>
      <c r="O77" s="1174">
        <v>0.1</v>
      </c>
      <c r="P77" s="1174" t="s">
        <v>5657</v>
      </c>
      <c r="Q77" s="1175">
        <v>1.0000000000000001E-15</v>
      </c>
      <c r="R77" s="1174">
        <v>-6.5199999999999994E-2</v>
      </c>
      <c r="S77" s="1174" t="s">
        <v>1065</v>
      </c>
      <c r="T77" s="1173">
        <v>21909109</v>
      </c>
    </row>
    <row r="78" spans="1:20" x14ac:dyDescent="0.25">
      <c r="A78" s="1452"/>
      <c r="B78" s="1443"/>
      <c r="C78" s="1443"/>
      <c r="D78" s="1456"/>
      <c r="E78" s="1459"/>
      <c r="F78" s="1174" t="s">
        <v>5765</v>
      </c>
      <c r="G78" s="1174">
        <v>72999105</v>
      </c>
      <c r="H78" s="1148" t="s">
        <v>5764</v>
      </c>
      <c r="I78" s="1174">
        <v>0.61643800000000004</v>
      </c>
      <c r="J78" s="1174">
        <v>-12937</v>
      </c>
      <c r="K78" s="1174" t="s">
        <v>2001</v>
      </c>
      <c r="L78" s="1174" t="s">
        <v>289</v>
      </c>
      <c r="M78" s="1176">
        <f>62166</f>
        <v>62166</v>
      </c>
      <c r="N78" s="1174" t="s">
        <v>23</v>
      </c>
      <c r="O78" s="1174">
        <v>0.81</v>
      </c>
      <c r="P78" s="1174" t="s">
        <v>5708</v>
      </c>
      <c r="Q78" s="1175">
        <v>9.9999999999999993E-41</v>
      </c>
      <c r="R78" s="1174">
        <v>0.1</v>
      </c>
      <c r="S78" s="1174" t="s">
        <v>1065</v>
      </c>
      <c r="T78" s="1173">
        <v>25961943</v>
      </c>
    </row>
    <row r="79" spans="1:20" x14ac:dyDescent="0.25">
      <c r="A79" s="1452"/>
      <c r="B79" s="1443"/>
      <c r="C79" s="1443"/>
      <c r="D79" s="1456"/>
      <c r="E79" s="1459"/>
      <c r="F79" s="1174" t="s">
        <v>5763</v>
      </c>
      <c r="G79" s="1174">
        <v>73010442</v>
      </c>
      <c r="H79" s="1148" t="s">
        <v>107</v>
      </c>
      <c r="I79" s="1174">
        <v>0.73854900000000001</v>
      </c>
      <c r="J79" s="1174">
        <v>-1600</v>
      </c>
      <c r="K79" s="1174" t="s">
        <v>5762</v>
      </c>
      <c r="L79" s="1174" t="s">
        <v>289</v>
      </c>
      <c r="M79" s="1176">
        <f>8330</f>
        <v>8330</v>
      </c>
      <c r="N79" s="1174" t="s">
        <v>5639</v>
      </c>
      <c r="O79" s="1174" t="s">
        <v>5639</v>
      </c>
      <c r="P79" s="1174" t="s">
        <v>3172</v>
      </c>
      <c r="Q79" s="1175">
        <v>8E-14</v>
      </c>
      <c r="R79" s="1174">
        <v>-0.16</v>
      </c>
      <c r="S79" s="1182" t="s">
        <v>35</v>
      </c>
      <c r="T79" s="1173">
        <v>22286219</v>
      </c>
    </row>
    <row r="80" spans="1:20" x14ac:dyDescent="0.25">
      <c r="A80" s="1452"/>
      <c r="B80" s="1443"/>
      <c r="C80" s="1443"/>
      <c r="D80" s="1456"/>
      <c r="E80" s="1459"/>
      <c r="F80" s="1174" t="s">
        <v>5761</v>
      </c>
      <c r="G80" s="1174">
        <v>73017005</v>
      </c>
      <c r="H80" s="1148" t="s">
        <v>107</v>
      </c>
      <c r="I80" s="1174">
        <v>0.47050999999999998</v>
      </c>
      <c r="J80" s="1174">
        <v>4963</v>
      </c>
      <c r="K80" s="1174" t="s">
        <v>5760</v>
      </c>
      <c r="L80" s="1174" t="s">
        <v>5783</v>
      </c>
      <c r="M80" s="1176">
        <f>2637+7927</f>
        <v>10564</v>
      </c>
      <c r="N80" s="1174" t="s">
        <v>16</v>
      </c>
      <c r="O80" s="1174">
        <v>0.83</v>
      </c>
      <c r="P80" s="1174" t="s">
        <v>3172</v>
      </c>
      <c r="Q80" s="1175">
        <v>1.9999999999999999E-11</v>
      </c>
      <c r="R80" s="1174">
        <v>0.12</v>
      </c>
      <c r="S80" s="1174" t="s">
        <v>1065</v>
      </c>
      <c r="T80" s="1173">
        <v>22399527</v>
      </c>
    </row>
    <row r="81" spans="1:22" x14ac:dyDescent="0.25">
      <c r="A81" s="1452"/>
      <c r="B81" s="1443"/>
      <c r="C81" s="1443"/>
      <c r="D81" s="1456"/>
      <c r="E81" s="1459"/>
      <c r="F81" s="1174" t="s">
        <v>111</v>
      </c>
      <c r="G81" s="1174">
        <v>73020337</v>
      </c>
      <c r="H81" s="1148" t="s">
        <v>107</v>
      </c>
      <c r="I81" s="1174">
        <v>0.83179999999999998</v>
      </c>
      <c r="J81" s="1174">
        <v>8295</v>
      </c>
      <c r="K81" s="1174" t="s">
        <v>2001</v>
      </c>
      <c r="L81" s="1174" t="s">
        <v>5759</v>
      </c>
      <c r="M81" s="1176">
        <f>1005+1006+6827+2528+1181</f>
        <v>12547</v>
      </c>
      <c r="N81" s="1174" t="s">
        <v>17</v>
      </c>
      <c r="O81" s="1174">
        <v>0.95</v>
      </c>
      <c r="P81" s="1174" t="s">
        <v>2980</v>
      </c>
      <c r="Q81" s="1175">
        <v>1E-10</v>
      </c>
      <c r="R81" s="1174">
        <v>10.5</v>
      </c>
      <c r="S81" s="1174" t="s">
        <v>1065</v>
      </c>
      <c r="T81" s="1173">
        <v>18193046</v>
      </c>
    </row>
    <row r="82" spans="1:22" ht="30" x14ac:dyDescent="0.25">
      <c r="A82" s="1452"/>
      <c r="B82" s="1443"/>
      <c r="C82" s="1443"/>
      <c r="D82" s="1456"/>
      <c r="E82" s="1459"/>
      <c r="F82" s="1174" t="s">
        <v>5758</v>
      </c>
      <c r="G82" s="1174">
        <v>73026378</v>
      </c>
      <c r="H82" s="1148" t="s">
        <v>107</v>
      </c>
      <c r="I82" s="1174">
        <v>0.69598800000000005</v>
      </c>
      <c r="J82" s="1174">
        <v>14336</v>
      </c>
      <c r="K82" s="1174" t="s">
        <v>5689</v>
      </c>
      <c r="L82" s="1174" t="s">
        <v>5757</v>
      </c>
      <c r="M82" s="1176">
        <f>52350+8739</f>
        <v>61089</v>
      </c>
      <c r="N82" s="1174" t="s">
        <v>17</v>
      </c>
      <c r="O82" s="1174">
        <v>0.86</v>
      </c>
      <c r="P82" s="1174" t="s">
        <v>3172</v>
      </c>
      <c r="Q82" s="1175">
        <v>3E-9</v>
      </c>
      <c r="R82" s="1174">
        <v>4.5</v>
      </c>
      <c r="S82" s="1174" t="s">
        <v>1065</v>
      </c>
      <c r="T82" s="1173">
        <v>22001757</v>
      </c>
    </row>
    <row r="83" spans="1:22" x14ac:dyDescent="0.25">
      <c r="A83" s="1453"/>
      <c r="B83" s="1444"/>
      <c r="C83" s="1444"/>
      <c r="D83" s="1457"/>
      <c r="E83" s="1460"/>
      <c r="F83" s="1170" t="s">
        <v>5756</v>
      </c>
      <c r="G83" s="1170">
        <v>73035857</v>
      </c>
      <c r="H83" s="1145" t="s">
        <v>107</v>
      </c>
      <c r="I83" s="1170">
        <v>0.274337</v>
      </c>
      <c r="J83" s="1170">
        <v>23815</v>
      </c>
      <c r="K83" s="1170" t="s">
        <v>5755</v>
      </c>
      <c r="L83" s="1170" t="s">
        <v>289</v>
      </c>
      <c r="M83" s="1172">
        <f>91462+30062+7964</f>
        <v>129488</v>
      </c>
      <c r="N83" s="1170" t="s">
        <v>23</v>
      </c>
      <c r="O83" s="1170">
        <v>0.72</v>
      </c>
      <c r="P83" s="1170" t="s">
        <v>3172</v>
      </c>
      <c r="Q83" s="1171">
        <v>3E-11</v>
      </c>
      <c r="R83" s="1170">
        <v>-0.05</v>
      </c>
      <c r="S83" s="1170" t="s">
        <v>7</v>
      </c>
      <c r="T83" s="1169">
        <v>25288136</v>
      </c>
    </row>
    <row r="84" spans="1:22" x14ac:dyDescent="0.25">
      <c r="A84" s="1451">
        <v>7</v>
      </c>
      <c r="B84" s="1454" t="s">
        <v>111</v>
      </c>
      <c r="C84" s="1454">
        <v>73020337</v>
      </c>
      <c r="D84" s="1455" t="s">
        <v>107</v>
      </c>
      <c r="E84" s="1458">
        <v>0.88119999999999998</v>
      </c>
      <c r="F84" s="1178" t="s">
        <v>2398</v>
      </c>
      <c r="G84" s="1178">
        <v>72856269</v>
      </c>
      <c r="H84" s="1181" t="s">
        <v>5776</v>
      </c>
      <c r="I84" s="1178">
        <v>0.80074900000000004</v>
      </c>
      <c r="J84" s="1178">
        <v>-164068</v>
      </c>
      <c r="K84" s="1178" t="s">
        <v>2001</v>
      </c>
      <c r="L84" s="1178" t="s">
        <v>289</v>
      </c>
      <c r="M84" s="1180">
        <f>17100+715</f>
        <v>17815</v>
      </c>
      <c r="N84" s="1178" t="s">
        <v>24</v>
      </c>
      <c r="O84" s="1178">
        <v>0.87</v>
      </c>
      <c r="P84" s="1178" t="s">
        <v>5670</v>
      </c>
      <c r="Q84" s="1179">
        <v>9.9999999999999998E-13</v>
      </c>
      <c r="R84" s="1178">
        <v>0.14000000000000001</v>
      </c>
      <c r="S84" s="1178" t="s">
        <v>1065</v>
      </c>
      <c r="T84" s="1177">
        <v>19060911</v>
      </c>
    </row>
    <row r="85" spans="1:22" x14ac:dyDescent="0.25">
      <c r="A85" s="1452"/>
      <c r="B85" s="1443"/>
      <c r="C85" s="1443"/>
      <c r="D85" s="1456"/>
      <c r="E85" s="1459"/>
      <c r="F85" s="1174" t="s">
        <v>5782</v>
      </c>
      <c r="G85" s="1174">
        <v>72856430</v>
      </c>
      <c r="H85" s="1148" t="s">
        <v>5776</v>
      </c>
      <c r="I85" s="1174">
        <v>0.287161</v>
      </c>
      <c r="J85" s="1174">
        <v>-163907</v>
      </c>
      <c r="K85" s="1174" t="s">
        <v>2001</v>
      </c>
      <c r="L85" s="1174" t="s">
        <v>289</v>
      </c>
      <c r="M85" s="1176">
        <f>17723+37774+9665</f>
        <v>65162</v>
      </c>
      <c r="N85" s="1174" t="s">
        <v>16</v>
      </c>
      <c r="O85" s="1174">
        <v>0.8</v>
      </c>
      <c r="P85" s="1174" t="s">
        <v>5670</v>
      </c>
      <c r="Q85" s="1175">
        <v>2E-12</v>
      </c>
      <c r="R85" s="1174">
        <v>0.05</v>
      </c>
      <c r="S85" s="1174" t="s">
        <v>1065</v>
      </c>
      <c r="T85" s="1173">
        <v>20864672</v>
      </c>
    </row>
    <row r="86" spans="1:22" x14ac:dyDescent="0.25">
      <c r="A86" s="1452"/>
      <c r="B86" s="1443"/>
      <c r="C86" s="1443"/>
      <c r="D86" s="1456"/>
      <c r="E86" s="1459"/>
      <c r="F86" s="1174" t="s">
        <v>5781</v>
      </c>
      <c r="G86" s="1174">
        <v>72857049</v>
      </c>
      <c r="H86" s="1148" t="s">
        <v>5776</v>
      </c>
      <c r="I86" s="1174">
        <v>0.285775</v>
      </c>
      <c r="J86" s="1174">
        <v>-163288</v>
      </c>
      <c r="K86" s="1174" t="s">
        <v>5780</v>
      </c>
      <c r="L86" s="1174" t="s">
        <v>289</v>
      </c>
      <c r="M86" s="1176">
        <f>49825+60522+32813</f>
        <v>143160</v>
      </c>
      <c r="N86" s="1174" t="s">
        <v>16</v>
      </c>
      <c r="O86" s="1174">
        <v>0.81</v>
      </c>
      <c r="P86" s="1174" t="s">
        <v>5779</v>
      </c>
      <c r="Q86" s="1175">
        <v>9.9999999999999998E-13</v>
      </c>
      <c r="R86" s="1174">
        <v>4.7E-2</v>
      </c>
      <c r="S86" s="1174" t="s">
        <v>1065</v>
      </c>
      <c r="T86" s="1173">
        <v>23263486</v>
      </c>
    </row>
    <row r="87" spans="1:22" x14ac:dyDescent="0.25">
      <c r="A87" s="1452"/>
      <c r="B87" s="1443"/>
      <c r="C87" s="1443"/>
      <c r="D87" s="1456"/>
      <c r="E87" s="1459"/>
      <c r="F87" s="1174" t="s">
        <v>5778</v>
      </c>
      <c r="G87" s="1174">
        <v>72864869</v>
      </c>
      <c r="H87" s="1148" t="s">
        <v>5776</v>
      </c>
      <c r="I87" s="1174">
        <v>0.80901699999999999</v>
      </c>
      <c r="J87" s="1174">
        <v>-155468</v>
      </c>
      <c r="K87" s="1174" t="s">
        <v>5766</v>
      </c>
      <c r="L87" s="1174" t="s">
        <v>289</v>
      </c>
      <c r="M87" s="1176">
        <f>463+1197</f>
        <v>1660</v>
      </c>
      <c r="N87" s="1174" t="s">
        <v>5639</v>
      </c>
      <c r="O87" s="1174">
        <v>0.87</v>
      </c>
      <c r="P87" s="1174" t="s">
        <v>3172</v>
      </c>
      <c r="Q87" s="1175">
        <v>3.0000000000000001E-6</v>
      </c>
      <c r="R87" s="1174">
        <v>2.27</v>
      </c>
      <c r="S87" s="1174" t="s">
        <v>1065</v>
      </c>
      <c r="T87" s="1173">
        <v>20657596</v>
      </c>
    </row>
    <row r="88" spans="1:22" x14ac:dyDescent="0.25">
      <c r="A88" s="1452"/>
      <c r="B88" s="1443"/>
      <c r="C88" s="1443"/>
      <c r="D88" s="1456"/>
      <c r="E88" s="1459"/>
      <c r="F88" s="1174" t="s">
        <v>5778</v>
      </c>
      <c r="G88" s="1174">
        <v>72864869</v>
      </c>
      <c r="H88" s="1148" t="s">
        <v>5776</v>
      </c>
      <c r="I88" s="1174">
        <v>0.80901699999999999</v>
      </c>
      <c r="J88" s="1174">
        <v>-155468</v>
      </c>
      <c r="K88" s="1174" t="s">
        <v>2001</v>
      </c>
      <c r="L88" s="1174" t="s">
        <v>614</v>
      </c>
      <c r="M88" s="1176">
        <f>8993</f>
        <v>8993</v>
      </c>
      <c r="N88" s="1174" t="s">
        <v>24</v>
      </c>
      <c r="O88" s="1174">
        <v>0.11</v>
      </c>
      <c r="P88" s="1174" t="s">
        <v>3172</v>
      </c>
      <c r="Q88" s="1175">
        <v>2.9999999999999999E-7</v>
      </c>
      <c r="R88" s="1174">
        <v>-0.123</v>
      </c>
      <c r="S88" s="1174" t="s">
        <v>1065</v>
      </c>
      <c r="T88" s="1173">
        <v>20139978</v>
      </c>
    </row>
    <row r="89" spans="1:22" x14ac:dyDescent="0.25">
      <c r="A89" s="1452"/>
      <c r="B89" s="1443"/>
      <c r="C89" s="1443"/>
      <c r="D89" s="1456"/>
      <c r="E89" s="1459"/>
      <c r="F89" s="1174" t="s">
        <v>5777</v>
      </c>
      <c r="G89" s="1174">
        <v>72904810</v>
      </c>
      <c r="H89" s="1148" t="s">
        <v>5776</v>
      </c>
      <c r="I89" s="1174">
        <v>0.28930299999999998</v>
      </c>
      <c r="J89" s="1174">
        <v>-115527</v>
      </c>
      <c r="K89" s="1174" t="s">
        <v>5775</v>
      </c>
      <c r="L89" s="1174" t="s">
        <v>289</v>
      </c>
      <c r="M89" s="1176">
        <f>8048+1376</f>
        <v>9424</v>
      </c>
      <c r="N89" s="1174" t="s">
        <v>23</v>
      </c>
      <c r="O89" s="1174">
        <v>0.2</v>
      </c>
      <c r="P89" s="1174" t="s">
        <v>3172</v>
      </c>
      <c r="Q89" s="1175">
        <v>2.9999999999999997E-8</v>
      </c>
      <c r="R89" s="1174">
        <v>-0.06</v>
      </c>
      <c r="S89" s="1174" t="s">
        <v>1065</v>
      </c>
      <c r="T89" s="1173">
        <v>20802025</v>
      </c>
    </row>
    <row r="90" spans="1:22" x14ac:dyDescent="0.25">
      <c r="A90" s="1452"/>
      <c r="B90" s="1443"/>
      <c r="C90" s="1443"/>
      <c r="D90" s="1456"/>
      <c r="E90" s="1459"/>
      <c r="F90" s="1174" t="s">
        <v>5774</v>
      </c>
      <c r="G90" s="1174">
        <v>72971231</v>
      </c>
      <c r="H90" s="1148" t="s">
        <v>2399</v>
      </c>
      <c r="I90" s="1174">
        <v>0.88660499999999998</v>
      </c>
      <c r="J90" s="1174">
        <v>-49106</v>
      </c>
      <c r="K90" s="1174" t="s">
        <v>5773</v>
      </c>
      <c r="L90" s="1174" t="s">
        <v>289</v>
      </c>
      <c r="M90" s="1176">
        <f>63678+1792+715+16540</f>
        <v>82725</v>
      </c>
      <c r="N90" s="1174" t="s">
        <v>17</v>
      </c>
      <c r="O90" s="1174" t="s">
        <v>5639</v>
      </c>
      <c r="P90" s="1174" t="s">
        <v>3172</v>
      </c>
      <c r="Q90" s="1175">
        <v>4.0000000000000002E-9</v>
      </c>
      <c r="R90" s="1174">
        <v>5.3999999999999999E-2</v>
      </c>
      <c r="S90" s="1182" t="s">
        <v>35</v>
      </c>
      <c r="T90" s="1173">
        <v>21300955</v>
      </c>
    </row>
    <row r="91" spans="1:22" x14ac:dyDescent="0.25">
      <c r="A91" s="1452"/>
      <c r="B91" s="1443"/>
      <c r="C91" s="1443"/>
      <c r="D91" s="1456"/>
      <c r="E91" s="1459"/>
      <c r="F91" s="1174" t="s">
        <v>5772</v>
      </c>
      <c r="G91" s="1174">
        <v>72977898</v>
      </c>
      <c r="H91" s="1148" t="s">
        <v>5768</v>
      </c>
      <c r="I91" s="1174">
        <v>0.23238200000000001</v>
      </c>
      <c r="J91" s="1174">
        <v>-42439</v>
      </c>
      <c r="K91" s="1174" t="s">
        <v>5771</v>
      </c>
      <c r="L91" s="1174" t="s">
        <v>614</v>
      </c>
      <c r="M91" s="1176">
        <f>12545+30395</f>
        <v>42940</v>
      </c>
      <c r="N91" s="1174" t="s">
        <v>17</v>
      </c>
      <c r="O91" s="1174">
        <v>0.1</v>
      </c>
      <c r="P91" s="1174" t="s">
        <v>5708</v>
      </c>
      <c r="Q91" s="1175">
        <v>6E-10</v>
      </c>
      <c r="R91" s="1174">
        <v>5.1000000000000004E-3</v>
      </c>
      <c r="S91" s="1174" t="s">
        <v>7</v>
      </c>
      <c r="T91" s="1173">
        <v>21909109</v>
      </c>
    </row>
    <row r="92" spans="1:22" x14ac:dyDescent="0.25">
      <c r="A92" s="1452"/>
      <c r="B92" s="1443"/>
      <c r="C92" s="1443"/>
      <c r="D92" s="1456"/>
      <c r="E92" s="1459"/>
      <c r="F92" s="1174" t="s">
        <v>5769</v>
      </c>
      <c r="G92" s="1174">
        <v>72982874</v>
      </c>
      <c r="H92" s="1148" t="s">
        <v>5768</v>
      </c>
      <c r="I92" s="1174">
        <v>0.73394499999999996</v>
      </c>
      <c r="J92" s="1174">
        <v>-37463</v>
      </c>
      <c r="K92" s="1174" t="s">
        <v>5707</v>
      </c>
      <c r="L92" s="1174" t="s">
        <v>289</v>
      </c>
      <c r="M92" s="1176">
        <f>99900</f>
        <v>99900</v>
      </c>
      <c r="N92" s="1174" t="s">
        <v>23</v>
      </c>
      <c r="O92" s="1174">
        <v>0.12</v>
      </c>
      <c r="P92" s="1174" t="s">
        <v>3558</v>
      </c>
      <c r="Q92" s="1175">
        <v>1.0000000000000001E-9</v>
      </c>
      <c r="R92" s="1174">
        <v>0.56999999999999995</v>
      </c>
      <c r="S92" s="1174" t="s">
        <v>7</v>
      </c>
      <c r="T92" s="1173">
        <v>20686565</v>
      </c>
    </row>
    <row r="93" spans="1:22" x14ac:dyDescent="0.25">
      <c r="A93" s="1452"/>
      <c r="B93" s="1443"/>
      <c r="C93" s="1443"/>
      <c r="D93" s="1456"/>
      <c r="E93" s="1459"/>
      <c r="F93" s="1174" t="s">
        <v>5769</v>
      </c>
      <c r="G93" s="1174">
        <v>72982874</v>
      </c>
      <c r="H93" s="1148" t="s">
        <v>5768</v>
      </c>
      <c r="I93" s="1174">
        <v>0.73394499999999996</v>
      </c>
      <c r="J93" s="1174">
        <v>-37463</v>
      </c>
      <c r="K93" s="1174" t="s">
        <v>5707</v>
      </c>
      <c r="L93" s="1174" t="s">
        <v>289</v>
      </c>
      <c r="M93" s="1176">
        <f>94595+93982</f>
        <v>188577</v>
      </c>
      <c r="N93" s="1174" t="s">
        <v>23</v>
      </c>
      <c r="O93" s="1174">
        <v>0.13</v>
      </c>
      <c r="P93" s="1174" t="s">
        <v>3558</v>
      </c>
      <c r="Q93" s="1175">
        <v>4.9999999999999999E-13</v>
      </c>
      <c r="R93" s="1174">
        <v>4.1000000000000002E-2</v>
      </c>
      <c r="S93" s="1174" t="s">
        <v>7</v>
      </c>
      <c r="T93" s="1173">
        <v>24097068</v>
      </c>
      <c r="V93" s="1193" t="s">
        <v>5770</v>
      </c>
    </row>
    <row r="94" spans="1:22" x14ac:dyDescent="0.25">
      <c r="A94" s="1452"/>
      <c r="B94" s="1443"/>
      <c r="C94" s="1443"/>
      <c r="D94" s="1456"/>
      <c r="E94" s="1459"/>
      <c r="F94" s="1174" t="s">
        <v>5769</v>
      </c>
      <c r="G94" s="1174">
        <v>72982874</v>
      </c>
      <c r="H94" s="1148" t="s">
        <v>5768</v>
      </c>
      <c r="I94" s="1174">
        <v>0.73394499999999996</v>
      </c>
      <c r="J94" s="1174">
        <v>-37463</v>
      </c>
      <c r="K94" s="1174" t="s">
        <v>2001</v>
      </c>
      <c r="L94" s="1174" t="s">
        <v>289</v>
      </c>
      <c r="M94" s="1176">
        <f>94595+93982</f>
        <v>188577</v>
      </c>
      <c r="N94" s="1174" t="s">
        <v>23</v>
      </c>
      <c r="O94" s="1174">
        <v>0.13</v>
      </c>
      <c r="P94" s="1174" t="s">
        <v>3558</v>
      </c>
      <c r="Q94" s="1175">
        <v>9.0000000000000006E-99</v>
      </c>
      <c r="R94" s="1174">
        <v>-0.115</v>
      </c>
      <c r="S94" s="1174" t="s">
        <v>1065</v>
      </c>
      <c r="T94" s="1173">
        <v>24097068</v>
      </c>
    </row>
    <row r="95" spans="1:22" x14ac:dyDescent="0.25">
      <c r="A95" s="1452"/>
      <c r="B95" s="1443"/>
      <c r="C95" s="1443"/>
      <c r="D95" s="1456"/>
      <c r="E95" s="1459"/>
      <c r="F95" s="1174" t="s">
        <v>5769</v>
      </c>
      <c r="G95" s="1174">
        <v>72982874</v>
      </c>
      <c r="H95" s="1148" t="s">
        <v>5768</v>
      </c>
      <c r="I95" s="1174">
        <v>0.73394499999999996</v>
      </c>
      <c r="J95" s="1174">
        <v>-37463</v>
      </c>
      <c r="K95" s="1174" t="s">
        <v>2001</v>
      </c>
      <c r="L95" s="1174" t="s">
        <v>289</v>
      </c>
      <c r="M95" s="1176">
        <f>8684+9741</f>
        <v>18425</v>
      </c>
      <c r="N95" s="1174" t="s">
        <v>17</v>
      </c>
      <c r="O95" s="1174">
        <v>0.84</v>
      </c>
      <c r="P95" s="1174" t="s">
        <v>3558</v>
      </c>
      <c r="Q95" s="1175">
        <v>2E-12</v>
      </c>
      <c r="R95" s="1174">
        <v>8.2100000000000009</v>
      </c>
      <c r="S95" s="1174" t="s">
        <v>1065</v>
      </c>
      <c r="T95" s="1173">
        <v>18193043</v>
      </c>
    </row>
    <row r="96" spans="1:22" x14ac:dyDescent="0.25">
      <c r="A96" s="1452"/>
      <c r="B96" s="1443"/>
      <c r="C96" s="1443"/>
      <c r="D96" s="1456"/>
      <c r="E96" s="1459"/>
      <c r="F96" s="1174" t="s">
        <v>5769</v>
      </c>
      <c r="G96" s="1174">
        <v>72982874</v>
      </c>
      <c r="H96" s="1148" t="s">
        <v>5768</v>
      </c>
      <c r="I96" s="1174">
        <v>0.73394499999999996</v>
      </c>
      <c r="J96" s="1174">
        <v>-37463</v>
      </c>
      <c r="K96" s="1174" t="s">
        <v>2001</v>
      </c>
      <c r="L96" s="1174" t="s">
        <v>289</v>
      </c>
      <c r="M96" s="1176">
        <f>96598</f>
        <v>96598</v>
      </c>
      <c r="N96" s="1174" t="s">
        <v>24</v>
      </c>
      <c r="O96" s="1174">
        <v>0.19</v>
      </c>
      <c r="P96" s="1174" t="s">
        <v>3558</v>
      </c>
      <c r="Q96" s="1175">
        <v>9.0000000000000002E-59</v>
      </c>
      <c r="R96" s="1174">
        <v>-7.91</v>
      </c>
      <c r="S96" s="1174" t="s">
        <v>1065</v>
      </c>
      <c r="T96" s="1173">
        <v>20686565</v>
      </c>
    </row>
    <row r="97" spans="1:20" ht="30" x14ac:dyDescent="0.25">
      <c r="A97" s="1452"/>
      <c r="B97" s="1443"/>
      <c r="C97" s="1443"/>
      <c r="D97" s="1456"/>
      <c r="E97" s="1459"/>
      <c r="F97" s="1174" t="s">
        <v>5767</v>
      </c>
      <c r="G97" s="1174">
        <v>72987354</v>
      </c>
      <c r="H97" s="1148" t="s">
        <v>2396</v>
      </c>
      <c r="I97" s="1174">
        <v>0.23475099999999999</v>
      </c>
      <c r="J97" s="1174">
        <v>-32983</v>
      </c>
      <c r="K97" s="1174" t="s">
        <v>5766</v>
      </c>
      <c r="L97" s="1174" t="s">
        <v>5685</v>
      </c>
      <c r="M97" s="1176">
        <f>1122+1118+1067+1054</f>
        <v>4361</v>
      </c>
      <c r="N97" s="1174" t="s">
        <v>5639</v>
      </c>
      <c r="O97" s="1174">
        <v>0.88</v>
      </c>
      <c r="P97" s="1174" t="s">
        <v>5657</v>
      </c>
      <c r="Q97" s="1175">
        <v>1.9999999999999999E-6</v>
      </c>
      <c r="R97" s="1174">
        <v>1.39</v>
      </c>
      <c r="S97" s="1174" t="s">
        <v>1065</v>
      </c>
      <c r="T97" s="1173">
        <v>23505323</v>
      </c>
    </row>
    <row r="98" spans="1:20" x14ac:dyDescent="0.25">
      <c r="A98" s="1452"/>
      <c r="B98" s="1443"/>
      <c r="C98" s="1443"/>
      <c r="D98" s="1456"/>
      <c r="E98" s="1459"/>
      <c r="F98" s="1174" t="s">
        <v>5765</v>
      </c>
      <c r="G98" s="1174">
        <v>72999105</v>
      </c>
      <c r="H98" s="1148" t="s">
        <v>5764</v>
      </c>
      <c r="I98" s="1174">
        <v>0.52035500000000001</v>
      </c>
      <c r="J98" s="1174">
        <v>-21232</v>
      </c>
      <c r="K98" s="1174" t="s">
        <v>2001</v>
      </c>
      <c r="L98" s="1174" t="s">
        <v>289</v>
      </c>
      <c r="M98" s="1176">
        <f>62166</f>
        <v>62166</v>
      </c>
      <c r="N98" s="1174" t="s">
        <v>23</v>
      </c>
      <c r="O98" s="1174">
        <v>0.81</v>
      </c>
      <c r="P98" s="1174" t="s">
        <v>5708</v>
      </c>
      <c r="Q98" s="1175">
        <v>9.9999999999999993E-41</v>
      </c>
      <c r="R98" s="1174">
        <v>0.1</v>
      </c>
      <c r="S98" s="1174" t="s">
        <v>1065</v>
      </c>
      <c r="T98" s="1173">
        <v>25961943</v>
      </c>
    </row>
    <row r="99" spans="1:20" x14ac:dyDescent="0.25">
      <c r="A99" s="1452"/>
      <c r="B99" s="1443"/>
      <c r="C99" s="1443"/>
      <c r="D99" s="1456"/>
      <c r="E99" s="1459"/>
      <c r="F99" s="1174" t="s">
        <v>5763</v>
      </c>
      <c r="G99" s="1174">
        <v>73010442</v>
      </c>
      <c r="H99" s="1148" t="s">
        <v>107</v>
      </c>
      <c r="I99" s="1174">
        <v>0.61863699999999999</v>
      </c>
      <c r="J99" s="1174">
        <v>-9895</v>
      </c>
      <c r="K99" s="1174" t="s">
        <v>5762</v>
      </c>
      <c r="L99" s="1174" t="s">
        <v>289</v>
      </c>
      <c r="M99" s="1176">
        <f>8330</f>
        <v>8330</v>
      </c>
      <c r="N99" s="1174" t="s">
        <v>5639</v>
      </c>
      <c r="O99" s="1174" t="s">
        <v>5639</v>
      </c>
      <c r="P99" s="1174" t="s">
        <v>3172</v>
      </c>
      <c r="Q99" s="1175">
        <v>8E-14</v>
      </c>
      <c r="R99" s="1174">
        <v>-0.16</v>
      </c>
      <c r="S99" s="1182" t="s">
        <v>35</v>
      </c>
      <c r="T99" s="1173">
        <v>22286219</v>
      </c>
    </row>
    <row r="100" spans="1:20" x14ac:dyDescent="0.25">
      <c r="A100" s="1452"/>
      <c r="B100" s="1443"/>
      <c r="C100" s="1443"/>
      <c r="D100" s="1456"/>
      <c r="E100" s="1459"/>
      <c r="F100" s="1174" t="s">
        <v>5761</v>
      </c>
      <c r="G100" s="1174">
        <v>73017005</v>
      </c>
      <c r="H100" s="1148" t="s">
        <v>107</v>
      </c>
      <c r="I100" s="1174">
        <v>0.39278600000000002</v>
      </c>
      <c r="J100" s="1174">
        <v>-3332</v>
      </c>
      <c r="K100" s="1174" t="s">
        <v>5760</v>
      </c>
      <c r="L100" s="1174" t="s">
        <v>289</v>
      </c>
      <c r="M100" s="1176">
        <f>2637+7927</f>
        <v>10564</v>
      </c>
      <c r="N100" s="1174" t="s">
        <v>16</v>
      </c>
      <c r="O100" s="1174">
        <v>0.83</v>
      </c>
      <c r="P100" s="1174" t="s">
        <v>3172</v>
      </c>
      <c r="Q100" s="1175">
        <v>1.9999999999999999E-11</v>
      </c>
      <c r="R100" s="1174">
        <v>0.12</v>
      </c>
      <c r="S100" s="1174" t="s">
        <v>1065</v>
      </c>
      <c r="T100" s="1173">
        <v>22399527</v>
      </c>
    </row>
    <row r="101" spans="1:20" x14ac:dyDescent="0.25">
      <c r="A101" s="1452"/>
      <c r="B101" s="1443"/>
      <c r="C101" s="1443"/>
      <c r="D101" s="1456"/>
      <c r="E101" s="1459"/>
      <c r="F101" s="1174" t="s">
        <v>111</v>
      </c>
      <c r="G101" s="1174">
        <v>73020337</v>
      </c>
      <c r="H101" s="1148" t="s">
        <v>107</v>
      </c>
      <c r="I101" s="1174">
        <v>1</v>
      </c>
      <c r="J101" s="1174">
        <v>0</v>
      </c>
      <c r="K101" s="1174" t="s">
        <v>2001</v>
      </c>
      <c r="L101" s="1174" t="s">
        <v>5759</v>
      </c>
      <c r="M101" s="1176">
        <f>1005+1006+6827+2528+1181</f>
        <v>12547</v>
      </c>
      <c r="N101" s="1174" t="s">
        <v>17</v>
      </c>
      <c r="O101" s="1174">
        <v>0.95</v>
      </c>
      <c r="P101" s="1174" t="s">
        <v>2980</v>
      </c>
      <c r="Q101" s="1175">
        <v>1E-10</v>
      </c>
      <c r="R101" s="1174">
        <v>10.5</v>
      </c>
      <c r="S101" s="1174" t="s">
        <v>1065</v>
      </c>
      <c r="T101" s="1173">
        <v>18193046</v>
      </c>
    </row>
    <row r="102" spans="1:20" ht="30" x14ac:dyDescent="0.25">
      <c r="A102" s="1452"/>
      <c r="B102" s="1443"/>
      <c r="C102" s="1443"/>
      <c r="D102" s="1456"/>
      <c r="E102" s="1459"/>
      <c r="F102" s="1174" t="s">
        <v>5758</v>
      </c>
      <c r="G102" s="1174">
        <v>73026378</v>
      </c>
      <c r="H102" s="1148" t="s">
        <v>107</v>
      </c>
      <c r="I102" s="1174">
        <v>0.65734400000000004</v>
      </c>
      <c r="J102" s="1174">
        <v>6041</v>
      </c>
      <c r="K102" s="1174" t="s">
        <v>5689</v>
      </c>
      <c r="L102" s="1174" t="s">
        <v>5757</v>
      </c>
      <c r="M102" s="1176">
        <f>52350+8739</f>
        <v>61089</v>
      </c>
      <c r="N102" s="1174" t="s">
        <v>17</v>
      </c>
      <c r="O102" s="1174">
        <v>0.86</v>
      </c>
      <c r="P102" s="1174" t="s">
        <v>3172</v>
      </c>
      <c r="Q102" s="1175">
        <v>3E-9</v>
      </c>
      <c r="R102" s="1174">
        <v>4.5</v>
      </c>
      <c r="S102" s="1174" t="s">
        <v>1065</v>
      </c>
      <c r="T102" s="1173">
        <v>22001757</v>
      </c>
    </row>
    <row r="103" spans="1:20" x14ac:dyDescent="0.25">
      <c r="A103" s="1453"/>
      <c r="B103" s="1444"/>
      <c r="C103" s="1444"/>
      <c r="D103" s="1457"/>
      <c r="E103" s="1460"/>
      <c r="F103" s="1170" t="s">
        <v>5756</v>
      </c>
      <c r="G103" s="1170">
        <v>73035857</v>
      </c>
      <c r="H103" s="1145" t="s">
        <v>107</v>
      </c>
      <c r="I103" s="1170">
        <v>0.25316699999999998</v>
      </c>
      <c r="J103" s="1170">
        <v>15520</v>
      </c>
      <c r="K103" s="1170" t="s">
        <v>5755</v>
      </c>
      <c r="L103" s="1170" t="s">
        <v>289</v>
      </c>
      <c r="M103" s="1172">
        <f>91462+30062+7964</f>
        <v>129488</v>
      </c>
      <c r="N103" s="1170" t="s">
        <v>23</v>
      </c>
      <c r="O103" s="1170">
        <v>0.72</v>
      </c>
      <c r="P103" s="1170" t="s">
        <v>3172</v>
      </c>
      <c r="Q103" s="1171">
        <v>3E-11</v>
      </c>
      <c r="R103" s="1170">
        <v>-0.05</v>
      </c>
      <c r="S103" s="1170" t="s">
        <v>7</v>
      </c>
      <c r="T103" s="1169">
        <v>25288136</v>
      </c>
    </row>
    <row r="104" spans="1:20" x14ac:dyDescent="0.25">
      <c r="A104" s="1190">
        <v>10</v>
      </c>
      <c r="B104" s="1186" t="s">
        <v>114</v>
      </c>
      <c r="C104" s="1186">
        <v>95931087</v>
      </c>
      <c r="D104" s="1146" t="s">
        <v>115</v>
      </c>
      <c r="E104" s="629">
        <v>0.17299999999999999</v>
      </c>
      <c r="F104" s="1186" t="s">
        <v>5754</v>
      </c>
      <c r="G104" s="1186">
        <v>95895177</v>
      </c>
      <c r="H104" s="1146" t="s">
        <v>115</v>
      </c>
      <c r="I104" s="1186">
        <v>0.350767</v>
      </c>
      <c r="J104" s="1186">
        <v>-35910</v>
      </c>
      <c r="K104" s="1186" t="s">
        <v>5753</v>
      </c>
      <c r="L104" s="1186" t="s">
        <v>289</v>
      </c>
      <c r="M104" s="1188">
        <f>74064+48607</f>
        <v>122671</v>
      </c>
      <c r="N104" s="1186" t="s">
        <v>24</v>
      </c>
      <c r="O104" s="1186">
        <v>0.53</v>
      </c>
      <c r="P104" s="1186" t="s">
        <v>3172</v>
      </c>
      <c r="Q104" s="1187">
        <v>5.0000000000000001E-9</v>
      </c>
      <c r="R104" s="1186">
        <v>-0.27100000000000002</v>
      </c>
      <c r="S104" s="1185" t="s">
        <v>35</v>
      </c>
      <c r="T104" s="1184">
        <v>21909110</v>
      </c>
    </row>
    <row r="105" spans="1:20" ht="30" x14ac:dyDescent="0.25">
      <c r="A105" s="1190">
        <v>12</v>
      </c>
      <c r="B105" s="1186" t="s">
        <v>135</v>
      </c>
      <c r="C105" s="1186">
        <v>108618630</v>
      </c>
      <c r="D105" s="1189" t="s">
        <v>136</v>
      </c>
      <c r="E105" s="629">
        <v>0.73680000000000001</v>
      </c>
      <c r="F105" s="1186" t="s">
        <v>5752</v>
      </c>
      <c r="G105" s="1186">
        <v>108602970</v>
      </c>
      <c r="H105" s="1146" t="s">
        <v>5751</v>
      </c>
      <c r="I105" s="1186">
        <v>0.29959599999999997</v>
      </c>
      <c r="J105" s="1186">
        <v>-15660</v>
      </c>
      <c r="K105" s="1186" t="s">
        <v>5750</v>
      </c>
      <c r="L105" s="1186" t="s">
        <v>289</v>
      </c>
      <c r="M105" s="1188">
        <f>1263+1434</f>
        <v>2697</v>
      </c>
      <c r="N105" s="1186" t="s">
        <v>5639</v>
      </c>
      <c r="O105" s="1186" t="s">
        <v>5639</v>
      </c>
      <c r="P105" s="1186" t="s">
        <v>3172</v>
      </c>
      <c r="Q105" s="1187">
        <v>7.9999999999999996E-6</v>
      </c>
      <c r="R105" s="1186">
        <v>1.1299999999999999</v>
      </c>
      <c r="S105" s="1182" t="s">
        <v>35</v>
      </c>
      <c r="T105" s="1184">
        <v>22365631</v>
      </c>
    </row>
    <row r="106" spans="1:20" x14ac:dyDescent="0.25">
      <c r="A106" s="1451">
        <v>12</v>
      </c>
      <c r="B106" s="1454" t="s">
        <v>143</v>
      </c>
      <c r="C106" s="1454">
        <v>124265687</v>
      </c>
      <c r="D106" s="1455" t="s">
        <v>940</v>
      </c>
      <c r="E106" s="1458">
        <v>0.37319999999999998</v>
      </c>
      <c r="F106" s="1178" t="s">
        <v>5749</v>
      </c>
      <c r="G106" s="1178">
        <v>124085502</v>
      </c>
      <c r="H106" s="1181" t="s">
        <v>5748</v>
      </c>
      <c r="I106" s="1178">
        <v>0.22710900000000001</v>
      </c>
      <c r="J106" s="1178">
        <v>-180185</v>
      </c>
      <c r="K106" s="1178" t="s">
        <v>5747</v>
      </c>
      <c r="L106" s="1178" t="s">
        <v>289</v>
      </c>
      <c r="M106" s="1180">
        <f>7161+6879+5133+4577</f>
        <v>23750</v>
      </c>
      <c r="N106" s="1178" t="s">
        <v>24</v>
      </c>
      <c r="O106" s="1178">
        <v>0.4</v>
      </c>
      <c r="P106" s="1178" t="s">
        <v>3453</v>
      </c>
      <c r="Q106" s="1179">
        <v>3.0000000000000001E-6</v>
      </c>
      <c r="R106" s="1178">
        <v>0.06</v>
      </c>
      <c r="S106" s="1178" t="s">
        <v>1065</v>
      </c>
      <c r="T106" s="1177">
        <v>23449627</v>
      </c>
    </row>
    <row r="107" spans="1:20" x14ac:dyDescent="0.25">
      <c r="A107" s="1453"/>
      <c r="B107" s="1444"/>
      <c r="C107" s="1444"/>
      <c r="D107" s="1457"/>
      <c r="E107" s="1460"/>
      <c r="F107" s="1170" t="s">
        <v>5746</v>
      </c>
      <c r="G107" s="1170">
        <v>124316876</v>
      </c>
      <c r="H107" s="1145" t="s">
        <v>940</v>
      </c>
      <c r="I107" s="1170">
        <v>0.504498</v>
      </c>
      <c r="J107" s="1170">
        <v>51189</v>
      </c>
      <c r="K107" s="1170" t="s">
        <v>5745</v>
      </c>
      <c r="L107" s="1170" t="s">
        <v>289</v>
      </c>
      <c r="M107" s="1172">
        <f>2247</f>
        <v>2247</v>
      </c>
      <c r="N107" s="1170" t="s">
        <v>24</v>
      </c>
      <c r="O107" s="1170">
        <v>0.40963041050756899</v>
      </c>
      <c r="P107" s="1170" t="s">
        <v>3172</v>
      </c>
      <c r="Q107" s="1171">
        <v>6.9999999999999999E-6</v>
      </c>
      <c r="R107" s="1170">
        <v>0.14729999999999999</v>
      </c>
      <c r="S107" s="1170" t="s">
        <v>1065</v>
      </c>
      <c r="T107" s="1169">
        <v>23382691</v>
      </c>
    </row>
    <row r="108" spans="1:20" ht="30" x14ac:dyDescent="0.25">
      <c r="A108" s="1451">
        <v>12</v>
      </c>
      <c r="B108" s="1454" t="s">
        <v>146</v>
      </c>
      <c r="C108" s="1454">
        <v>124330311</v>
      </c>
      <c r="D108" s="1455" t="s">
        <v>940</v>
      </c>
      <c r="E108" s="1458">
        <v>0.88929999999999998</v>
      </c>
      <c r="F108" s="1178" t="s">
        <v>5743</v>
      </c>
      <c r="G108" s="1178">
        <v>124499542</v>
      </c>
      <c r="H108" s="1181" t="s">
        <v>5735</v>
      </c>
      <c r="I108" s="1178">
        <v>0.36608200000000002</v>
      </c>
      <c r="J108" s="1178">
        <v>169231</v>
      </c>
      <c r="K108" s="1178" t="s">
        <v>5744</v>
      </c>
      <c r="L108" s="1178" t="s">
        <v>289</v>
      </c>
      <c r="M108" s="1180">
        <f>5560+4997</f>
        <v>10557</v>
      </c>
      <c r="N108" s="1178" t="s">
        <v>24</v>
      </c>
      <c r="O108" s="1178">
        <v>0.83</v>
      </c>
      <c r="P108" s="1178" t="s">
        <v>5670</v>
      </c>
      <c r="Q108" s="1179">
        <v>9.0000000000000002E-6</v>
      </c>
      <c r="R108" s="1174" t="s">
        <v>5639</v>
      </c>
      <c r="S108" s="1182" t="s">
        <v>35</v>
      </c>
      <c r="T108" s="1177">
        <v>22589738</v>
      </c>
    </row>
    <row r="109" spans="1:20" ht="30" x14ac:dyDescent="0.25">
      <c r="A109" s="1453"/>
      <c r="B109" s="1444"/>
      <c r="C109" s="1444"/>
      <c r="D109" s="1457"/>
      <c r="E109" s="1460"/>
      <c r="F109" s="1170" t="s">
        <v>5743</v>
      </c>
      <c r="G109" s="1170">
        <v>124499542</v>
      </c>
      <c r="H109" s="1145" t="s">
        <v>5735</v>
      </c>
      <c r="I109" s="1170">
        <v>0.36608200000000002</v>
      </c>
      <c r="J109" s="1170">
        <v>169231</v>
      </c>
      <c r="K109" s="1170" t="s">
        <v>5742</v>
      </c>
      <c r="L109" s="1170" t="s">
        <v>289</v>
      </c>
      <c r="M109" s="1172">
        <f>5560+4997</f>
        <v>10557</v>
      </c>
      <c r="N109" s="1170" t="s">
        <v>24</v>
      </c>
      <c r="O109" s="1170">
        <v>0.83</v>
      </c>
      <c r="P109" s="1170" t="s">
        <v>5670</v>
      </c>
      <c r="Q109" s="1171">
        <v>6.9999999999999999E-6</v>
      </c>
      <c r="R109" s="1174" t="s">
        <v>5639</v>
      </c>
      <c r="S109" s="1182" t="s">
        <v>35</v>
      </c>
      <c r="T109" s="1169">
        <v>22589738</v>
      </c>
    </row>
    <row r="110" spans="1:20" x14ac:dyDescent="0.25">
      <c r="A110" s="1451">
        <v>12</v>
      </c>
      <c r="B110" s="1454" t="s">
        <v>149</v>
      </c>
      <c r="C110" s="1454">
        <v>124427306</v>
      </c>
      <c r="D110" s="1455" t="s">
        <v>941</v>
      </c>
      <c r="E110" s="1461">
        <v>0.6946</v>
      </c>
      <c r="F110" s="1178" t="s">
        <v>5741</v>
      </c>
      <c r="G110" s="1178">
        <v>124375210</v>
      </c>
      <c r="H110" s="1181" t="s">
        <v>940</v>
      </c>
      <c r="I110" s="1178">
        <v>0.28888599999999998</v>
      </c>
      <c r="J110" s="1178">
        <v>-52096</v>
      </c>
      <c r="K110" s="1178" t="s">
        <v>5740</v>
      </c>
      <c r="L110" s="1178" t="s">
        <v>289</v>
      </c>
      <c r="M110" s="1180">
        <f>4734+46903+6928+20570</f>
        <v>79135</v>
      </c>
      <c r="N110" s="1178" t="s">
        <v>24</v>
      </c>
      <c r="O110" s="1178">
        <v>0.45</v>
      </c>
      <c r="P110" s="1178" t="s">
        <v>3172</v>
      </c>
      <c r="Q110" s="1179">
        <v>1.9999999999999999E-6</v>
      </c>
      <c r="R110" s="1178">
        <v>1.07</v>
      </c>
      <c r="S110" s="1178" t="s">
        <v>7</v>
      </c>
      <c r="T110" s="1177">
        <v>23989986</v>
      </c>
    </row>
    <row r="111" spans="1:20" x14ac:dyDescent="0.25">
      <c r="A111" s="1452"/>
      <c r="B111" s="1443"/>
      <c r="C111" s="1443"/>
      <c r="D111" s="1456"/>
      <c r="E111" s="1462"/>
      <c r="F111" s="1174" t="s">
        <v>5739</v>
      </c>
      <c r="G111" s="1174">
        <v>124460167</v>
      </c>
      <c r="H111" s="1148" t="s">
        <v>5735</v>
      </c>
      <c r="I111" s="1174">
        <v>0.90447</v>
      </c>
      <c r="J111" s="1174">
        <v>32861</v>
      </c>
      <c r="K111" s="1174" t="s">
        <v>5707</v>
      </c>
      <c r="L111" s="1174" t="s">
        <v>289</v>
      </c>
      <c r="M111" s="1176">
        <f>99900</f>
        <v>99900</v>
      </c>
      <c r="N111" s="1174" t="s">
        <v>23</v>
      </c>
      <c r="O111" s="1174">
        <v>0.34</v>
      </c>
      <c r="P111" s="1174" t="s">
        <v>3172</v>
      </c>
      <c r="Q111" s="1175">
        <v>3E-10</v>
      </c>
      <c r="R111" s="1174">
        <v>0.44</v>
      </c>
      <c r="S111" s="1174" t="s">
        <v>7</v>
      </c>
      <c r="T111" s="1173">
        <v>20686565</v>
      </c>
    </row>
    <row r="112" spans="1:20" x14ac:dyDescent="0.25">
      <c r="A112" s="1452"/>
      <c r="B112" s="1443"/>
      <c r="C112" s="1443"/>
      <c r="D112" s="1456"/>
      <c r="E112" s="1462"/>
      <c r="F112" s="1174" t="s">
        <v>5739</v>
      </c>
      <c r="G112" s="1174">
        <v>124460167</v>
      </c>
      <c r="H112" s="1148" t="s">
        <v>5735</v>
      </c>
      <c r="I112" s="1174">
        <v>0.90447</v>
      </c>
      <c r="J112" s="1174">
        <v>32861</v>
      </c>
      <c r="K112" s="1174" t="s">
        <v>5707</v>
      </c>
      <c r="L112" s="1174" t="s">
        <v>289</v>
      </c>
      <c r="M112" s="1176">
        <f>94595+93982</f>
        <v>188577</v>
      </c>
      <c r="N112" s="1174" t="s">
        <v>23</v>
      </c>
      <c r="O112" s="1174">
        <v>0.35</v>
      </c>
      <c r="P112" s="1174" t="s">
        <v>3172</v>
      </c>
      <c r="Q112" s="1175">
        <v>8.0000000000000003E-10</v>
      </c>
      <c r="R112" s="1174">
        <v>3.2000000000000001E-2</v>
      </c>
      <c r="S112" s="1174" t="s">
        <v>7</v>
      </c>
      <c r="T112" s="1173">
        <v>24097068</v>
      </c>
    </row>
    <row r="113" spans="1:20" x14ac:dyDescent="0.25">
      <c r="A113" s="1452"/>
      <c r="B113" s="1443"/>
      <c r="C113" s="1443"/>
      <c r="D113" s="1456"/>
      <c r="E113" s="1462"/>
      <c r="F113" s="1174" t="s">
        <v>5739</v>
      </c>
      <c r="G113" s="1174">
        <v>124460167</v>
      </c>
      <c r="H113" s="1148" t="s">
        <v>5735</v>
      </c>
      <c r="I113" s="1174">
        <v>0.90447</v>
      </c>
      <c r="J113" s="1174">
        <v>32861</v>
      </c>
      <c r="K113" s="1174" t="s">
        <v>2001</v>
      </c>
      <c r="L113" s="1174" t="s">
        <v>289</v>
      </c>
      <c r="M113" s="1176">
        <f>96598</f>
        <v>96598</v>
      </c>
      <c r="N113" s="1174" t="s">
        <v>24</v>
      </c>
      <c r="O113" s="1174">
        <v>0.34</v>
      </c>
      <c r="P113" s="1174" t="s">
        <v>3172</v>
      </c>
      <c r="Q113" s="1175">
        <v>1E-8</v>
      </c>
      <c r="R113" s="1174">
        <v>-2.42</v>
      </c>
      <c r="S113" s="1174" t="s">
        <v>1065</v>
      </c>
      <c r="T113" s="1173">
        <v>20686565</v>
      </c>
    </row>
    <row r="114" spans="1:20" x14ac:dyDescent="0.25">
      <c r="A114" s="1452"/>
      <c r="B114" s="1443"/>
      <c r="C114" s="1443"/>
      <c r="D114" s="1456"/>
      <c r="E114" s="1462"/>
      <c r="F114" s="1174" t="s">
        <v>5739</v>
      </c>
      <c r="G114" s="1174">
        <v>124460167</v>
      </c>
      <c r="H114" s="1148" t="s">
        <v>5735</v>
      </c>
      <c r="I114" s="1174">
        <v>0.90447</v>
      </c>
      <c r="J114" s="1174">
        <v>32861</v>
      </c>
      <c r="K114" s="1174" t="s">
        <v>2001</v>
      </c>
      <c r="L114" s="1174" t="s">
        <v>289</v>
      </c>
      <c r="M114" s="1176">
        <f>94595+93982</f>
        <v>188577</v>
      </c>
      <c r="N114" s="1174" t="s">
        <v>23</v>
      </c>
      <c r="O114" s="1174">
        <v>0.35</v>
      </c>
      <c r="P114" s="1174" t="s">
        <v>3172</v>
      </c>
      <c r="Q114" s="1175">
        <v>2E-8</v>
      </c>
      <c r="R114" s="1174">
        <v>-2.9000000000000001E-2</v>
      </c>
      <c r="S114" s="1174" t="s">
        <v>1065</v>
      </c>
      <c r="T114" s="1173">
        <v>24097068</v>
      </c>
    </row>
    <row r="115" spans="1:20" x14ac:dyDescent="0.25">
      <c r="A115" s="1452"/>
      <c r="B115" s="1443"/>
      <c r="C115" s="1443"/>
      <c r="D115" s="1456"/>
      <c r="E115" s="1462"/>
      <c r="F115" s="1174" t="s">
        <v>5738</v>
      </c>
      <c r="G115" s="1174">
        <v>124480801</v>
      </c>
      <c r="H115" s="1148" t="s">
        <v>5737</v>
      </c>
      <c r="I115" s="1174">
        <v>0.50636000000000003</v>
      </c>
      <c r="J115" s="1174">
        <v>53495</v>
      </c>
      <c r="K115" s="1174" t="s">
        <v>5727</v>
      </c>
      <c r="L115" s="1174" t="s">
        <v>5726</v>
      </c>
      <c r="M115" s="1176">
        <f>592+505+36989+113075</f>
        <v>151161</v>
      </c>
      <c r="N115" s="1174" t="s">
        <v>24</v>
      </c>
      <c r="O115" s="1174" t="s">
        <v>5639</v>
      </c>
      <c r="P115" s="1174" t="s">
        <v>3172</v>
      </c>
      <c r="Q115" s="1175">
        <v>2.9999999999999999E-7</v>
      </c>
      <c r="R115" s="1174">
        <v>1.0752687000000001</v>
      </c>
      <c r="S115" s="1182" t="s">
        <v>35</v>
      </c>
      <c r="T115" s="1173">
        <v>26198764</v>
      </c>
    </row>
    <row r="116" spans="1:20" x14ac:dyDescent="0.25">
      <c r="A116" s="1453"/>
      <c r="B116" s="1444"/>
      <c r="C116" s="1444"/>
      <c r="D116" s="1457"/>
      <c r="E116" s="1463"/>
      <c r="F116" s="1170" t="s">
        <v>5736</v>
      </c>
      <c r="G116" s="1170">
        <v>124491529</v>
      </c>
      <c r="H116" s="1145" t="s">
        <v>5735</v>
      </c>
      <c r="I116" s="1170">
        <v>0.62893100000000002</v>
      </c>
      <c r="J116" s="1170">
        <v>64223</v>
      </c>
      <c r="K116" s="1170" t="s">
        <v>5734</v>
      </c>
      <c r="L116" s="1170" t="s">
        <v>614</v>
      </c>
      <c r="M116" s="1172">
        <f>7827+10252</f>
        <v>18079</v>
      </c>
      <c r="N116" s="1170" t="s">
        <v>17</v>
      </c>
      <c r="O116" s="1170">
        <v>0.92</v>
      </c>
      <c r="P116" s="1170" t="s">
        <v>3172</v>
      </c>
      <c r="Q116" s="1171">
        <v>1.9999999999999999E-7</v>
      </c>
      <c r="R116" s="1170">
        <v>-0.11</v>
      </c>
      <c r="S116" s="1170" t="s">
        <v>7</v>
      </c>
      <c r="T116" s="1169">
        <v>24105470</v>
      </c>
    </row>
    <row r="117" spans="1:20" x14ac:dyDescent="0.25">
      <c r="A117" s="1190">
        <v>15</v>
      </c>
      <c r="B117" s="1186" t="s">
        <v>152</v>
      </c>
      <c r="C117" s="1186">
        <v>42032383</v>
      </c>
      <c r="D117" s="1189" t="s">
        <v>153</v>
      </c>
      <c r="E117" s="1191">
        <v>0.34539999999999998</v>
      </c>
      <c r="F117" s="1186" t="s">
        <v>5733</v>
      </c>
      <c r="G117" s="1186">
        <v>42072530</v>
      </c>
      <c r="H117" s="1146" t="s">
        <v>223</v>
      </c>
      <c r="I117" s="1186">
        <v>0.62594700000000003</v>
      </c>
      <c r="J117" s="1186">
        <v>40147</v>
      </c>
      <c r="K117" s="1186" t="s">
        <v>5732</v>
      </c>
      <c r="L117" s="1186" t="s">
        <v>289</v>
      </c>
      <c r="M117" s="1188">
        <f>106736</f>
        <v>106736</v>
      </c>
      <c r="N117" s="1186" t="s">
        <v>17</v>
      </c>
      <c r="O117" s="1186">
        <v>0.64300000000000002</v>
      </c>
      <c r="P117" s="1186" t="s">
        <v>3172</v>
      </c>
      <c r="Q117" s="1187">
        <v>6.9999999999999999E-6</v>
      </c>
      <c r="R117" s="1186">
        <v>0.02</v>
      </c>
      <c r="S117" s="1186" t="s">
        <v>7</v>
      </c>
      <c r="T117" s="1184">
        <v>25201988</v>
      </c>
    </row>
    <row r="118" spans="1:20" x14ac:dyDescent="0.25">
      <c r="A118" s="1190">
        <v>15</v>
      </c>
      <c r="B118" s="1186" t="s">
        <v>222</v>
      </c>
      <c r="C118" s="1186">
        <v>42115747</v>
      </c>
      <c r="D118" s="1186" t="s">
        <v>223</v>
      </c>
      <c r="E118" s="736">
        <v>0.34889999999999999</v>
      </c>
      <c r="F118" s="1186" t="s">
        <v>5733</v>
      </c>
      <c r="G118" s="1186">
        <v>42072530</v>
      </c>
      <c r="H118" s="1146" t="s">
        <v>223</v>
      </c>
      <c r="I118" s="1186">
        <v>0.90020100000000003</v>
      </c>
      <c r="J118" s="1186">
        <v>-43217</v>
      </c>
      <c r="K118" s="1186" t="s">
        <v>5732</v>
      </c>
      <c r="L118" s="1186" t="s">
        <v>289</v>
      </c>
      <c r="M118" s="1188">
        <f>106736</f>
        <v>106736</v>
      </c>
      <c r="N118" s="1186" t="s">
        <v>17</v>
      </c>
      <c r="O118" s="1186">
        <v>0.64300000000000002</v>
      </c>
      <c r="P118" s="1186" t="s">
        <v>3172</v>
      </c>
      <c r="Q118" s="1187">
        <v>6.9999999999999999E-6</v>
      </c>
      <c r="R118" s="1186">
        <v>0.02</v>
      </c>
      <c r="S118" s="1186" t="s">
        <v>7</v>
      </c>
      <c r="T118" s="1184">
        <v>25201988</v>
      </c>
    </row>
    <row r="119" spans="1:20" x14ac:dyDescent="0.25">
      <c r="A119" s="1190">
        <v>15</v>
      </c>
      <c r="B119" s="1186" t="s">
        <v>156</v>
      </c>
      <c r="C119" s="1186">
        <v>56756285</v>
      </c>
      <c r="D119" s="1189" t="s">
        <v>157</v>
      </c>
      <c r="E119" s="1192">
        <v>9.5799999999999996E-2</v>
      </c>
      <c r="F119" s="1186" t="s">
        <v>5731</v>
      </c>
      <c r="G119" s="1186">
        <v>56775597</v>
      </c>
      <c r="H119" s="1146" t="s">
        <v>5730</v>
      </c>
      <c r="I119" s="1186">
        <v>0.53258799999999995</v>
      </c>
      <c r="J119" s="1186">
        <v>19312</v>
      </c>
      <c r="K119" s="1186" t="s">
        <v>5729</v>
      </c>
      <c r="L119" s="1186" t="s">
        <v>289</v>
      </c>
      <c r="M119" s="1188">
        <f>2179+6221+1709+6318</f>
        <v>16427</v>
      </c>
      <c r="N119" s="1186" t="s">
        <v>24</v>
      </c>
      <c r="O119" s="1186">
        <v>0.11</v>
      </c>
      <c r="P119" s="1186" t="s">
        <v>5708</v>
      </c>
      <c r="Q119" s="1187">
        <v>2.0000000000000001E-13</v>
      </c>
      <c r="R119" s="1186">
        <v>1.41</v>
      </c>
      <c r="S119" s="1186" t="s">
        <v>7</v>
      </c>
      <c r="T119" s="1184">
        <v>23770605</v>
      </c>
    </row>
    <row r="120" spans="1:20" ht="30" x14ac:dyDescent="0.25">
      <c r="A120" s="1190">
        <v>16</v>
      </c>
      <c r="B120" s="1186" t="s">
        <v>161</v>
      </c>
      <c r="C120" s="1186">
        <v>4432029</v>
      </c>
      <c r="D120" s="1189" t="s">
        <v>948</v>
      </c>
      <c r="E120" s="1191">
        <v>0.23130000000000001</v>
      </c>
      <c r="F120" s="1186" t="s">
        <v>5728</v>
      </c>
      <c r="G120" s="1186">
        <v>4497451</v>
      </c>
      <c r="H120" s="1146" t="s">
        <v>950</v>
      </c>
      <c r="I120" s="1186">
        <v>0.43491099999999999</v>
      </c>
      <c r="J120" s="1186">
        <v>65422</v>
      </c>
      <c r="K120" s="1186" t="s">
        <v>5727</v>
      </c>
      <c r="L120" s="1186" t="s">
        <v>5726</v>
      </c>
      <c r="M120" s="1188">
        <f>592+505+36989+113075</f>
        <v>151161</v>
      </c>
      <c r="N120" s="1186" t="s">
        <v>23</v>
      </c>
      <c r="O120" s="1186" t="s">
        <v>5639</v>
      </c>
      <c r="P120" s="1186" t="s">
        <v>5657</v>
      </c>
      <c r="Q120" s="1187">
        <v>2.9999999999999999E-7</v>
      </c>
      <c r="R120" s="1186">
        <v>1.06</v>
      </c>
      <c r="S120" s="1185" t="s">
        <v>35</v>
      </c>
      <c r="T120" s="1184">
        <v>26198764</v>
      </c>
    </row>
    <row r="121" spans="1:20" ht="30" x14ac:dyDescent="0.25">
      <c r="A121" s="1190">
        <v>16</v>
      </c>
      <c r="B121" s="1186" t="s">
        <v>164</v>
      </c>
      <c r="C121" s="1186">
        <v>4445327</v>
      </c>
      <c r="D121" s="1189" t="s">
        <v>949</v>
      </c>
      <c r="E121" s="1191">
        <v>0.29930000000000001</v>
      </c>
      <c r="F121" s="1186" t="s">
        <v>5728</v>
      </c>
      <c r="G121" s="1186">
        <v>4497451</v>
      </c>
      <c r="H121" s="1146" t="s">
        <v>950</v>
      </c>
      <c r="I121" s="1186">
        <v>0.26424599999999998</v>
      </c>
      <c r="J121" s="1186">
        <v>52124</v>
      </c>
      <c r="K121" s="1186" t="s">
        <v>5727</v>
      </c>
      <c r="L121" s="1186" t="s">
        <v>5726</v>
      </c>
      <c r="M121" s="1188">
        <f>592+505+36989+113075</f>
        <v>151161</v>
      </c>
      <c r="N121" s="1186" t="s">
        <v>23</v>
      </c>
      <c r="O121" s="1186" t="s">
        <v>5639</v>
      </c>
      <c r="P121" s="1186" t="s">
        <v>5657</v>
      </c>
      <c r="Q121" s="1187">
        <v>2.9999999999999999E-7</v>
      </c>
      <c r="R121" s="1186">
        <v>1.06</v>
      </c>
      <c r="S121" s="1185" t="s">
        <v>35</v>
      </c>
      <c r="T121" s="1184">
        <v>26198764</v>
      </c>
    </row>
    <row r="122" spans="1:20" ht="30" x14ac:dyDescent="0.25">
      <c r="A122" s="1190">
        <v>16</v>
      </c>
      <c r="B122" s="1186" t="s">
        <v>167</v>
      </c>
      <c r="C122" s="1186">
        <v>4484396</v>
      </c>
      <c r="D122" s="1189" t="s">
        <v>950</v>
      </c>
      <c r="E122" s="629">
        <v>0.28410000000000002</v>
      </c>
      <c r="F122" s="1186" t="s">
        <v>5728</v>
      </c>
      <c r="G122" s="1186">
        <v>4497451</v>
      </c>
      <c r="H122" s="1146" t="s">
        <v>950</v>
      </c>
      <c r="I122" s="1186">
        <v>0.85964600000000002</v>
      </c>
      <c r="J122" s="1186">
        <v>13055</v>
      </c>
      <c r="K122" s="1186" t="s">
        <v>5727</v>
      </c>
      <c r="L122" s="1186" t="s">
        <v>5726</v>
      </c>
      <c r="M122" s="1188">
        <f>592+505+36989+113075</f>
        <v>151161</v>
      </c>
      <c r="N122" s="1186" t="s">
        <v>23</v>
      </c>
      <c r="O122" s="1186" t="s">
        <v>5639</v>
      </c>
      <c r="P122" s="1186" t="s">
        <v>5657</v>
      </c>
      <c r="Q122" s="1187">
        <v>2.9999999999999999E-7</v>
      </c>
      <c r="R122" s="1186">
        <v>1.06</v>
      </c>
      <c r="S122" s="1185" t="s">
        <v>35</v>
      </c>
      <c r="T122" s="1184">
        <v>26198764</v>
      </c>
    </row>
    <row r="123" spans="1:20" x14ac:dyDescent="0.25">
      <c r="A123" s="1451">
        <v>16</v>
      </c>
      <c r="B123" s="1454" t="s">
        <v>170</v>
      </c>
      <c r="C123" s="1454">
        <v>67397580</v>
      </c>
      <c r="D123" s="1455" t="s">
        <v>171</v>
      </c>
      <c r="E123" s="1458">
        <v>0.93830000000000002</v>
      </c>
      <c r="F123" s="1178" t="s">
        <v>5724</v>
      </c>
      <c r="G123" s="1178">
        <v>67225501</v>
      </c>
      <c r="H123" s="1181" t="s">
        <v>5723</v>
      </c>
      <c r="I123" s="1178">
        <v>0.38123400000000002</v>
      </c>
      <c r="J123" s="1178">
        <v>-172079</v>
      </c>
      <c r="K123" s="1178" t="s">
        <v>5707</v>
      </c>
      <c r="L123" s="1178" t="s">
        <v>5718</v>
      </c>
      <c r="M123" s="1180">
        <f>7813+4323</f>
        <v>12136</v>
      </c>
      <c r="N123" s="1178" t="s">
        <v>23</v>
      </c>
      <c r="O123" s="1178">
        <v>0.44</v>
      </c>
      <c r="P123" s="1178" t="s">
        <v>3453</v>
      </c>
      <c r="Q123" s="1179">
        <v>1.9999999999999999E-11</v>
      </c>
      <c r="R123" s="1178">
        <v>0.09</v>
      </c>
      <c r="S123" s="1178" t="s">
        <v>7</v>
      </c>
      <c r="T123" s="1177">
        <v>21347282</v>
      </c>
    </row>
    <row r="124" spans="1:20" x14ac:dyDescent="0.25">
      <c r="A124" s="1452"/>
      <c r="B124" s="1443"/>
      <c r="C124" s="1443"/>
      <c r="D124" s="1456"/>
      <c r="E124" s="1459"/>
      <c r="F124" s="1174" t="s">
        <v>5722</v>
      </c>
      <c r="G124" s="1174">
        <v>67708897</v>
      </c>
      <c r="H124" s="1148" t="s">
        <v>5721</v>
      </c>
      <c r="I124" s="1174">
        <v>0.53997899999999999</v>
      </c>
      <c r="J124" s="1174">
        <v>311317</v>
      </c>
      <c r="K124" s="1174" t="s">
        <v>5707</v>
      </c>
      <c r="L124" s="1174" t="s">
        <v>289</v>
      </c>
      <c r="M124" s="1176">
        <f>17723+37774+9665</f>
        <v>65162</v>
      </c>
      <c r="N124" s="1174" t="s">
        <v>24</v>
      </c>
      <c r="O124" s="1174">
        <v>0.17</v>
      </c>
      <c r="P124" s="1174" t="s">
        <v>5670</v>
      </c>
      <c r="Q124" s="1175">
        <v>1.9999999999999999E-7</v>
      </c>
      <c r="R124" s="1174">
        <v>0.02</v>
      </c>
      <c r="S124" s="1174" t="s">
        <v>7</v>
      </c>
      <c r="T124" s="1173">
        <v>20864672</v>
      </c>
    </row>
    <row r="125" spans="1:20" x14ac:dyDescent="0.25">
      <c r="A125" s="1452"/>
      <c r="B125" s="1443"/>
      <c r="C125" s="1443"/>
      <c r="D125" s="1456"/>
      <c r="E125" s="1459"/>
      <c r="F125" s="1174" t="s">
        <v>5720</v>
      </c>
      <c r="G125" s="1174">
        <v>67911517</v>
      </c>
      <c r="H125" s="1148" t="s">
        <v>5719</v>
      </c>
      <c r="I125" s="1174">
        <v>0.49442700000000001</v>
      </c>
      <c r="J125" s="1174">
        <v>513937</v>
      </c>
      <c r="K125" s="1174" t="s">
        <v>5725</v>
      </c>
      <c r="L125" s="1174" t="s">
        <v>289</v>
      </c>
      <c r="M125" s="1176">
        <f>2637+7927</f>
        <v>10564</v>
      </c>
      <c r="N125" s="1174" t="s">
        <v>23</v>
      </c>
      <c r="O125" s="1174">
        <v>0.81</v>
      </c>
      <c r="P125" s="1174" t="s">
        <v>3742</v>
      </c>
      <c r="Q125" s="1175">
        <v>2.0000000000000001E-10</v>
      </c>
      <c r="R125" s="1174">
        <v>-0.11</v>
      </c>
      <c r="S125" s="1174" t="s">
        <v>7</v>
      </c>
      <c r="T125" s="1173">
        <v>22399527</v>
      </c>
    </row>
    <row r="126" spans="1:20" x14ac:dyDescent="0.25">
      <c r="A126" s="1453"/>
      <c r="B126" s="1444"/>
      <c r="C126" s="1444"/>
      <c r="D126" s="1457"/>
      <c r="E126" s="1460"/>
      <c r="F126" s="1170" t="s">
        <v>5717</v>
      </c>
      <c r="G126" s="1170">
        <v>68013471</v>
      </c>
      <c r="H126" s="1145" t="s">
        <v>5716</v>
      </c>
      <c r="I126" s="1170">
        <v>0.47703899999999999</v>
      </c>
      <c r="J126" s="1170">
        <v>615891</v>
      </c>
      <c r="K126" s="1170" t="s">
        <v>5707</v>
      </c>
      <c r="L126" s="1170" t="s">
        <v>289</v>
      </c>
      <c r="M126" s="1172">
        <f>4763</f>
        <v>4763</v>
      </c>
      <c r="N126" s="1170" t="s">
        <v>24</v>
      </c>
      <c r="O126" s="1170">
        <v>0.22</v>
      </c>
      <c r="P126" s="1170" t="s">
        <v>3172</v>
      </c>
      <c r="Q126" s="1171">
        <v>2.9999999999999997E-8</v>
      </c>
      <c r="R126" s="1170">
        <v>0.05</v>
      </c>
      <c r="S126" s="1170" t="s">
        <v>7</v>
      </c>
      <c r="T126" s="1169">
        <v>19060910</v>
      </c>
    </row>
    <row r="127" spans="1:20" x14ac:dyDescent="0.25">
      <c r="A127" s="1451">
        <v>16</v>
      </c>
      <c r="B127" s="1454" t="s">
        <v>175</v>
      </c>
      <c r="C127" s="1454">
        <v>67409180</v>
      </c>
      <c r="D127" s="1455" t="s">
        <v>171</v>
      </c>
      <c r="E127" s="1458">
        <v>0.93869999999999998</v>
      </c>
      <c r="F127" s="1178" t="s">
        <v>5724</v>
      </c>
      <c r="G127" s="1178">
        <v>67225501</v>
      </c>
      <c r="H127" s="1181" t="s">
        <v>5723</v>
      </c>
      <c r="I127" s="1178">
        <v>0.38192900000000002</v>
      </c>
      <c r="J127" s="1178">
        <v>-183679</v>
      </c>
      <c r="K127" s="1178" t="s">
        <v>5707</v>
      </c>
      <c r="L127" s="1178" t="s">
        <v>289</v>
      </c>
      <c r="M127" s="1180">
        <f>7813+4323</f>
        <v>12136</v>
      </c>
      <c r="N127" s="1178" t="s">
        <v>23</v>
      </c>
      <c r="O127" s="1178">
        <v>0.44</v>
      </c>
      <c r="P127" s="1178" t="s">
        <v>3453</v>
      </c>
      <c r="Q127" s="1179">
        <v>1.9999999999999999E-11</v>
      </c>
      <c r="R127" s="1178">
        <v>0.09</v>
      </c>
      <c r="S127" s="1178" t="s">
        <v>7</v>
      </c>
      <c r="T127" s="1177">
        <v>21347282</v>
      </c>
    </row>
    <row r="128" spans="1:20" x14ac:dyDescent="0.25">
      <c r="A128" s="1452"/>
      <c r="B128" s="1443"/>
      <c r="C128" s="1443"/>
      <c r="D128" s="1456"/>
      <c r="E128" s="1459"/>
      <c r="F128" s="1174" t="s">
        <v>5722</v>
      </c>
      <c r="G128" s="1174">
        <v>67708897</v>
      </c>
      <c r="H128" s="1148" t="s">
        <v>5721</v>
      </c>
      <c r="I128" s="1174">
        <v>0.53708999999999996</v>
      </c>
      <c r="J128" s="1174">
        <v>299717</v>
      </c>
      <c r="K128" s="1174" t="s">
        <v>5707</v>
      </c>
      <c r="L128" s="1174" t="s">
        <v>289</v>
      </c>
      <c r="M128" s="1176">
        <f>17723+37774+9665</f>
        <v>65162</v>
      </c>
      <c r="N128" s="1174" t="s">
        <v>24</v>
      </c>
      <c r="O128" s="1174">
        <v>0.17</v>
      </c>
      <c r="P128" s="1174" t="s">
        <v>5670</v>
      </c>
      <c r="Q128" s="1175">
        <v>1.9999999999999999E-7</v>
      </c>
      <c r="R128" s="1174">
        <v>0.02</v>
      </c>
      <c r="S128" s="1174" t="s">
        <v>7</v>
      </c>
      <c r="T128" s="1173">
        <v>20864672</v>
      </c>
    </row>
    <row r="129" spans="1:20" x14ac:dyDescent="0.25">
      <c r="A129" s="1452"/>
      <c r="B129" s="1443"/>
      <c r="C129" s="1443"/>
      <c r="D129" s="1456"/>
      <c r="E129" s="1459"/>
      <c r="F129" s="1174" t="s">
        <v>5720</v>
      </c>
      <c r="G129" s="1174">
        <v>67911517</v>
      </c>
      <c r="H129" s="1148" t="s">
        <v>5719</v>
      </c>
      <c r="I129" s="1174">
        <v>0.49156100000000003</v>
      </c>
      <c r="J129" s="1174">
        <v>502337</v>
      </c>
      <c r="K129" s="1174" t="s">
        <v>5707</v>
      </c>
      <c r="L129" s="1174" t="s">
        <v>5718</v>
      </c>
      <c r="M129" s="1176">
        <f>7813+4323</f>
        <v>12136</v>
      </c>
      <c r="N129" s="1174" t="s">
        <v>23</v>
      </c>
      <c r="O129" s="1174">
        <v>0.38</v>
      </c>
      <c r="P129" s="1174" t="s">
        <v>3742</v>
      </c>
      <c r="Q129" s="1175">
        <v>7.9999999999999996E-6</v>
      </c>
      <c r="R129" s="1174">
        <v>-7.1499999999999994E-2</v>
      </c>
      <c r="S129" s="1174" t="s">
        <v>7</v>
      </c>
      <c r="T129" s="1173">
        <v>21347282</v>
      </c>
    </row>
    <row r="130" spans="1:20" x14ac:dyDescent="0.25">
      <c r="A130" s="1453"/>
      <c r="B130" s="1444"/>
      <c r="C130" s="1444"/>
      <c r="D130" s="1457"/>
      <c r="E130" s="1460"/>
      <c r="F130" s="1170" t="s">
        <v>5717</v>
      </c>
      <c r="G130" s="1170">
        <v>68013471</v>
      </c>
      <c r="H130" s="1145" t="s">
        <v>5716</v>
      </c>
      <c r="I130" s="1170">
        <v>0.47517500000000001</v>
      </c>
      <c r="J130" s="1170">
        <v>604291</v>
      </c>
      <c r="K130" s="1170" t="s">
        <v>5707</v>
      </c>
      <c r="L130" s="1170" t="s">
        <v>289</v>
      </c>
      <c r="M130" s="1172">
        <f>4763</f>
        <v>4763</v>
      </c>
      <c r="N130" s="1170" t="s">
        <v>24</v>
      </c>
      <c r="O130" s="1170">
        <v>0.22</v>
      </c>
      <c r="P130" s="1170" t="s">
        <v>3172</v>
      </c>
      <c r="Q130" s="1171">
        <v>2.9999999999999997E-8</v>
      </c>
      <c r="R130" s="1170">
        <v>0.05</v>
      </c>
      <c r="S130" s="1170" t="s">
        <v>7</v>
      </c>
      <c r="T130" s="1169">
        <v>19060910</v>
      </c>
    </row>
    <row r="131" spans="1:20" x14ac:dyDescent="0.25">
      <c r="A131" s="1451">
        <v>17</v>
      </c>
      <c r="B131" s="1454" t="s">
        <v>205</v>
      </c>
      <c r="C131" s="1454">
        <v>17425631</v>
      </c>
      <c r="D131" s="1455" t="s">
        <v>206</v>
      </c>
      <c r="E131" s="1458">
        <v>0.56859999999999999</v>
      </c>
      <c r="F131" s="1178" t="s">
        <v>5713</v>
      </c>
      <c r="G131" s="1178">
        <v>17543722</v>
      </c>
      <c r="H131" s="1181" t="s">
        <v>5710</v>
      </c>
      <c r="I131" s="1178">
        <v>0.276752</v>
      </c>
      <c r="J131" s="1178">
        <v>118091</v>
      </c>
      <c r="K131" s="1178" t="s">
        <v>5715</v>
      </c>
      <c r="L131" s="1178" t="s">
        <v>5639</v>
      </c>
      <c r="M131" s="1180">
        <f>33398+75726</f>
        <v>109124</v>
      </c>
      <c r="N131" s="1178" t="s">
        <v>16</v>
      </c>
      <c r="O131" s="1178" t="s">
        <v>5639</v>
      </c>
      <c r="P131" s="1178" t="s">
        <v>5708</v>
      </c>
      <c r="Q131" s="1179">
        <v>1.9999999999999999E-7</v>
      </c>
      <c r="R131" s="1178">
        <v>1.0752999999999999</v>
      </c>
      <c r="S131" s="1183" t="s">
        <v>35</v>
      </c>
      <c r="T131" s="1177">
        <v>24262325</v>
      </c>
    </row>
    <row r="132" spans="1:20" ht="30" x14ac:dyDescent="0.25">
      <c r="A132" s="1452"/>
      <c r="B132" s="1443"/>
      <c r="C132" s="1443"/>
      <c r="D132" s="1456"/>
      <c r="E132" s="1459"/>
      <c r="F132" s="1174" t="s">
        <v>5713</v>
      </c>
      <c r="G132" s="1174">
        <v>17543722</v>
      </c>
      <c r="H132" s="1148" t="s">
        <v>5710</v>
      </c>
      <c r="I132" s="1174">
        <v>0.276752</v>
      </c>
      <c r="J132" s="1174">
        <v>118091</v>
      </c>
      <c r="K132" s="1174" t="s">
        <v>5714</v>
      </c>
      <c r="L132" s="1174" t="s">
        <v>5639</v>
      </c>
      <c r="M132" s="1176">
        <f>2167+22233+75921</f>
        <v>100321</v>
      </c>
      <c r="N132" s="1174" t="s">
        <v>5639</v>
      </c>
      <c r="O132" s="1174" t="s">
        <v>5639</v>
      </c>
      <c r="P132" s="1174" t="s">
        <v>5708</v>
      </c>
      <c r="Q132" s="1175">
        <v>2.0000000000000001E-10</v>
      </c>
      <c r="R132" s="1174" t="s">
        <v>5639</v>
      </c>
      <c r="S132" s="1182" t="s">
        <v>35</v>
      </c>
      <c r="T132" s="1173">
        <v>24262325</v>
      </c>
    </row>
    <row r="133" spans="1:20" x14ac:dyDescent="0.25">
      <c r="A133" s="1452"/>
      <c r="B133" s="1443"/>
      <c r="C133" s="1443"/>
      <c r="D133" s="1456"/>
      <c r="E133" s="1459"/>
      <c r="F133" s="1174" t="s">
        <v>5713</v>
      </c>
      <c r="G133" s="1174">
        <v>17543722</v>
      </c>
      <c r="H133" s="1148" t="s">
        <v>5710</v>
      </c>
      <c r="I133" s="1174">
        <v>0.276752</v>
      </c>
      <c r="J133" s="1174">
        <v>118091</v>
      </c>
      <c r="K133" s="1174" t="s">
        <v>5712</v>
      </c>
      <c r="L133" s="1174" t="s">
        <v>289</v>
      </c>
      <c r="M133" s="1176">
        <f>22233+64762+56682</f>
        <v>143677</v>
      </c>
      <c r="N133" s="1174" t="s">
        <v>24</v>
      </c>
      <c r="O133" s="1174">
        <v>0.56000000000000005</v>
      </c>
      <c r="P133" s="1174" t="s">
        <v>5708</v>
      </c>
      <c r="Q133" s="1175">
        <v>4.0000000000000001E-10</v>
      </c>
      <c r="R133" s="1174">
        <v>1.07</v>
      </c>
      <c r="S133" s="1174" t="s">
        <v>1065</v>
      </c>
      <c r="T133" s="1173">
        <v>21378990</v>
      </c>
    </row>
    <row r="134" spans="1:20" ht="30" x14ac:dyDescent="0.25">
      <c r="A134" s="1453"/>
      <c r="B134" s="1444"/>
      <c r="C134" s="1444"/>
      <c r="D134" s="1457"/>
      <c r="E134" s="1460"/>
      <c r="F134" s="1170" t="s">
        <v>5711</v>
      </c>
      <c r="G134" s="1170">
        <v>17544704</v>
      </c>
      <c r="H134" s="1145" t="s">
        <v>5710</v>
      </c>
      <c r="I134" s="1170">
        <v>0.30235499999999998</v>
      </c>
      <c r="J134" s="1170">
        <v>119073</v>
      </c>
      <c r="K134" s="1170" t="s">
        <v>5709</v>
      </c>
      <c r="L134" s="1170" t="s">
        <v>5639</v>
      </c>
      <c r="M134" s="1172">
        <f>12389+22233+88766</f>
        <v>123388</v>
      </c>
      <c r="N134" s="1170" t="s">
        <v>5639</v>
      </c>
      <c r="O134" s="1174" t="s">
        <v>5639</v>
      </c>
      <c r="P134" s="1170" t="s">
        <v>5708</v>
      </c>
      <c r="Q134" s="1171">
        <v>2E-8</v>
      </c>
      <c r="R134" s="1174" t="s">
        <v>5639</v>
      </c>
      <c r="S134" s="1182" t="s">
        <v>35</v>
      </c>
      <c r="T134" s="1169">
        <v>24262325</v>
      </c>
    </row>
    <row r="135" spans="1:20" x14ac:dyDescent="0.25">
      <c r="A135" s="1451">
        <v>19</v>
      </c>
      <c r="B135" s="1454" t="s">
        <v>261</v>
      </c>
      <c r="C135" s="1454">
        <v>8429323</v>
      </c>
      <c r="D135" s="1455" t="s">
        <v>262</v>
      </c>
      <c r="E135" s="1458">
        <v>0.98050000000000004</v>
      </c>
      <c r="F135" s="1178" t="s">
        <v>261</v>
      </c>
      <c r="G135" s="1178">
        <v>8429323</v>
      </c>
      <c r="H135" s="1181" t="s">
        <v>262</v>
      </c>
      <c r="I135" s="1178">
        <v>1</v>
      </c>
      <c r="J135" s="1178">
        <v>0</v>
      </c>
      <c r="K135" s="1178" t="s">
        <v>5707</v>
      </c>
      <c r="L135" s="1178" t="s">
        <v>289</v>
      </c>
      <c r="M135" s="1180">
        <f>62166</f>
        <v>62166</v>
      </c>
      <c r="N135" s="1178" t="s">
        <v>16</v>
      </c>
      <c r="O135" s="1178">
        <v>0.03</v>
      </c>
      <c r="P135" s="1178" t="s">
        <v>2980</v>
      </c>
      <c r="Q135" s="1179">
        <v>2E-14</v>
      </c>
      <c r="R135" s="1178">
        <v>0.17799999999999999</v>
      </c>
      <c r="S135" s="1178" t="s">
        <v>7</v>
      </c>
      <c r="T135" s="1177">
        <v>25961943</v>
      </c>
    </row>
    <row r="136" spans="1:20" x14ac:dyDescent="0.25">
      <c r="A136" s="1452"/>
      <c r="B136" s="1443"/>
      <c r="C136" s="1443"/>
      <c r="D136" s="1456"/>
      <c r="E136" s="1460"/>
      <c r="F136" s="1174" t="s">
        <v>261</v>
      </c>
      <c r="G136" s="1174">
        <v>8429323</v>
      </c>
      <c r="H136" s="1148" t="s">
        <v>262</v>
      </c>
      <c r="I136" s="1174">
        <v>1</v>
      </c>
      <c r="J136" s="1174">
        <v>0</v>
      </c>
      <c r="K136" s="1174" t="s">
        <v>2001</v>
      </c>
      <c r="L136" s="1174" t="s">
        <v>289</v>
      </c>
      <c r="M136" s="1176">
        <f>62166</f>
        <v>62166</v>
      </c>
      <c r="N136" s="1174" t="s">
        <v>24</v>
      </c>
      <c r="O136" s="1174">
        <v>0.97</v>
      </c>
      <c r="P136" s="1174" t="s">
        <v>2980</v>
      </c>
      <c r="Q136" s="1175">
        <v>4.0000000000000003E-15</v>
      </c>
      <c r="R136" s="1174">
        <v>0.183</v>
      </c>
      <c r="S136" s="1174" t="s">
        <v>1065</v>
      </c>
      <c r="T136" s="1173">
        <v>25961943</v>
      </c>
    </row>
    <row r="137" spans="1:20" x14ac:dyDescent="0.25">
      <c r="A137" s="1190">
        <v>19</v>
      </c>
      <c r="B137" s="1186" t="s">
        <v>178</v>
      </c>
      <c r="C137" s="1186">
        <v>18285944</v>
      </c>
      <c r="D137" s="1189" t="s">
        <v>957</v>
      </c>
      <c r="E137" s="736">
        <v>0.2571</v>
      </c>
      <c r="F137" s="1186" t="s">
        <v>182</v>
      </c>
      <c r="G137" s="1186">
        <v>18304700</v>
      </c>
      <c r="H137" s="1146" t="s">
        <v>958</v>
      </c>
      <c r="I137" s="1186">
        <v>0.84591899999999998</v>
      </c>
      <c r="J137" s="1186">
        <v>18756</v>
      </c>
      <c r="K137" s="1186" t="s">
        <v>5706</v>
      </c>
      <c r="L137" s="1186" t="s">
        <v>289</v>
      </c>
      <c r="M137" s="1188">
        <f>9772+16849+4218+7296</f>
        <v>38135</v>
      </c>
      <c r="N137" s="1186" t="s">
        <v>16</v>
      </c>
      <c r="O137" s="1186" t="s">
        <v>5639</v>
      </c>
      <c r="P137" s="1186" t="s">
        <v>2980</v>
      </c>
      <c r="Q137" s="1187">
        <v>1E-8</v>
      </c>
      <c r="R137" s="1186">
        <v>1.1100000000000001</v>
      </c>
      <c r="S137" s="1185" t="s">
        <v>35</v>
      </c>
      <c r="T137" s="1184">
        <v>21833088</v>
      </c>
    </row>
    <row r="138" spans="1:20" x14ac:dyDescent="0.25">
      <c r="A138" s="1190">
        <v>19</v>
      </c>
      <c r="B138" s="1186" t="s">
        <v>182</v>
      </c>
      <c r="C138" s="1186">
        <v>18304700</v>
      </c>
      <c r="D138" s="1189" t="s">
        <v>958</v>
      </c>
      <c r="E138" s="629">
        <v>0.2707</v>
      </c>
      <c r="F138" s="1186" t="s">
        <v>182</v>
      </c>
      <c r="G138" s="1186">
        <v>18304700</v>
      </c>
      <c r="H138" s="1146" t="s">
        <v>958</v>
      </c>
      <c r="I138" s="1186">
        <v>1</v>
      </c>
      <c r="J138" s="1186">
        <v>0</v>
      </c>
      <c r="K138" s="1186" t="s">
        <v>5706</v>
      </c>
      <c r="L138" s="1186" t="s">
        <v>289</v>
      </c>
      <c r="M138" s="1188">
        <f>9772+16849+4218+7296</f>
        <v>38135</v>
      </c>
      <c r="N138" s="1186" t="s">
        <v>16</v>
      </c>
      <c r="O138" s="1186" t="s">
        <v>5639</v>
      </c>
      <c r="P138" s="1186" t="s">
        <v>2980</v>
      </c>
      <c r="Q138" s="1187">
        <v>1E-8</v>
      </c>
      <c r="R138" s="1186">
        <v>1.1100000000000001</v>
      </c>
      <c r="S138" s="1185" t="s">
        <v>35</v>
      </c>
      <c r="T138" s="1184">
        <v>21833088</v>
      </c>
    </row>
    <row r="139" spans="1:20" x14ac:dyDescent="0.25">
      <c r="A139" s="1451">
        <v>19</v>
      </c>
      <c r="B139" s="1454" t="s">
        <v>185</v>
      </c>
      <c r="C139" s="1454">
        <v>49232226</v>
      </c>
      <c r="D139" s="1455" t="s">
        <v>186</v>
      </c>
      <c r="E139" s="1458">
        <v>0.49430000000000002</v>
      </c>
      <c r="F139" s="1178" t="s">
        <v>5687</v>
      </c>
      <c r="G139" s="1178">
        <v>49206172</v>
      </c>
      <c r="H139" s="1181" t="s">
        <v>2670</v>
      </c>
      <c r="I139" s="1178">
        <v>0.40780300000000003</v>
      </c>
      <c r="J139" s="1178">
        <v>-26054</v>
      </c>
      <c r="K139" s="1178" t="s">
        <v>5705</v>
      </c>
      <c r="L139" s="1178" t="s">
        <v>5652</v>
      </c>
      <c r="M139" s="1180">
        <f>12882+21770+25273+26715+548+342+1423+990+2824+3719</f>
        <v>96486</v>
      </c>
      <c r="N139" s="1178" t="s">
        <v>16</v>
      </c>
      <c r="O139" s="1178">
        <v>0.4652</v>
      </c>
      <c r="P139" s="1178" t="s">
        <v>3172</v>
      </c>
      <c r="Q139" s="1179">
        <v>1E-13</v>
      </c>
      <c r="R139" s="1178">
        <v>1.0784879000000001</v>
      </c>
      <c r="S139" s="1183" t="s">
        <v>35</v>
      </c>
      <c r="T139" s="1177">
        <v>26192919</v>
      </c>
    </row>
    <row r="140" spans="1:20" x14ac:dyDescent="0.25">
      <c r="A140" s="1452"/>
      <c r="B140" s="1443"/>
      <c r="C140" s="1443"/>
      <c r="D140" s="1456"/>
      <c r="E140" s="1459"/>
      <c r="F140" s="1174" t="s">
        <v>2671</v>
      </c>
      <c r="G140" s="1174">
        <v>49206417</v>
      </c>
      <c r="H140" s="1148" t="s">
        <v>2670</v>
      </c>
      <c r="I140" s="1174">
        <v>0.40857100000000002</v>
      </c>
      <c r="J140" s="1174">
        <v>-25809</v>
      </c>
      <c r="K140" s="1174" t="s">
        <v>5704</v>
      </c>
      <c r="L140" s="1174" t="s">
        <v>289</v>
      </c>
      <c r="M140" s="1176">
        <f>100184</f>
        <v>100184</v>
      </c>
      <c r="N140" s="1174" t="s">
        <v>24</v>
      </c>
      <c r="O140" s="1174">
        <v>0.49</v>
      </c>
      <c r="P140" s="1174" t="s">
        <v>3742</v>
      </c>
      <c r="Q140" s="1175">
        <v>2.0000000000000001E-10</v>
      </c>
      <c r="R140" s="1174">
        <v>1.27</v>
      </c>
      <c r="S140" s="1182" t="s">
        <v>35</v>
      </c>
      <c r="T140" s="1173">
        <v>20686565</v>
      </c>
    </row>
    <row r="141" spans="1:20" x14ac:dyDescent="0.25">
      <c r="A141" s="1452"/>
      <c r="B141" s="1443"/>
      <c r="C141" s="1443"/>
      <c r="D141" s="1456"/>
      <c r="E141" s="1459"/>
      <c r="F141" s="1174" t="s">
        <v>2671</v>
      </c>
      <c r="G141" s="1174">
        <v>49206417</v>
      </c>
      <c r="H141" s="1148" t="s">
        <v>2670</v>
      </c>
      <c r="I141" s="1174">
        <v>0.40857100000000002</v>
      </c>
      <c r="J141" s="1174">
        <v>-25809</v>
      </c>
      <c r="K141" s="1174" t="s">
        <v>5704</v>
      </c>
      <c r="L141" s="1174" t="s">
        <v>289</v>
      </c>
      <c r="M141" s="1176">
        <f>94595+93982</f>
        <v>188577</v>
      </c>
      <c r="N141" s="1174" t="s">
        <v>24</v>
      </c>
      <c r="O141" s="1174">
        <v>0.47</v>
      </c>
      <c r="P141" s="1174" t="s">
        <v>3742</v>
      </c>
      <c r="Q141" s="1175">
        <v>9.9999999999999998E-17</v>
      </c>
      <c r="R141" s="1174">
        <v>3.1E-2</v>
      </c>
      <c r="S141" s="1182" t="s">
        <v>35</v>
      </c>
      <c r="T141" s="1173">
        <v>24097068</v>
      </c>
    </row>
    <row r="142" spans="1:20" ht="30" x14ac:dyDescent="0.25">
      <c r="A142" s="1452"/>
      <c r="B142" s="1443"/>
      <c r="C142" s="1443"/>
      <c r="D142" s="1456"/>
      <c r="E142" s="1459"/>
      <c r="F142" s="1174" t="s">
        <v>2671</v>
      </c>
      <c r="G142" s="1174">
        <v>49206417</v>
      </c>
      <c r="H142" s="1148" t="s">
        <v>2670</v>
      </c>
      <c r="I142" s="1174">
        <v>0.40857100000000002</v>
      </c>
      <c r="J142" s="1174">
        <v>-25809</v>
      </c>
      <c r="K142" s="1174" t="s">
        <v>5694</v>
      </c>
      <c r="L142" s="1174" t="s">
        <v>289</v>
      </c>
      <c r="M142" s="1176">
        <f>1725+258+117</f>
        <v>2100</v>
      </c>
      <c r="N142" s="1174" t="s">
        <v>17</v>
      </c>
      <c r="O142" s="1174">
        <v>0.48199999999999998</v>
      </c>
      <c r="P142" s="1174" t="s">
        <v>3742</v>
      </c>
      <c r="Q142" s="1175">
        <v>1.9999999999999999E-7</v>
      </c>
      <c r="R142" s="1174">
        <v>0.14299999999999999</v>
      </c>
      <c r="S142" s="1182" t="s">
        <v>35</v>
      </c>
      <c r="T142" s="1173">
        <v>25147783</v>
      </c>
    </row>
    <row r="143" spans="1:20" ht="30" x14ac:dyDescent="0.25">
      <c r="A143" s="1452"/>
      <c r="B143" s="1443"/>
      <c r="C143" s="1443"/>
      <c r="D143" s="1456"/>
      <c r="E143" s="1459"/>
      <c r="F143" s="1174" t="s">
        <v>5681</v>
      </c>
      <c r="G143" s="1174">
        <v>49206674</v>
      </c>
      <c r="H143" s="1148" t="s">
        <v>2670</v>
      </c>
      <c r="I143" s="1174">
        <v>0.40968500000000002</v>
      </c>
      <c r="J143" s="1174">
        <v>-25552</v>
      </c>
      <c r="K143" s="1174" t="s">
        <v>5703</v>
      </c>
      <c r="L143" s="1174" t="s">
        <v>289</v>
      </c>
      <c r="M143" s="1176">
        <f>7824</f>
        <v>7824</v>
      </c>
      <c r="N143" s="1174" t="s">
        <v>16</v>
      </c>
      <c r="O143" s="1174">
        <v>0.43</v>
      </c>
      <c r="P143" s="1174" t="s">
        <v>5679</v>
      </c>
      <c r="Q143" s="1175">
        <v>3E-11</v>
      </c>
      <c r="R143" s="1174">
        <v>4.1000000000000002E-2</v>
      </c>
      <c r="S143" s="1182" t="s">
        <v>35</v>
      </c>
      <c r="T143" s="1173">
        <v>24816252</v>
      </c>
    </row>
    <row r="144" spans="1:20" ht="30" x14ac:dyDescent="0.25">
      <c r="A144" s="1452"/>
      <c r="B144" s="1443"/>
      <c r="C144" s="1443"/>
      <c r="D144" s="1456"/>
      <c r="E144" s="1459"/>
      <c r="F144" s="1174" t="s">
        <v>5678</v>
      </c>
      <c r="G144" s="1174">
        <v>49206985</v>
      </c>
      <c r="H144" s="1148" t="s">
        <v>2670</v>
      </c>
      <c r="I144" s="1174">
        <v>0.42598000000000003</v>
      </c>
      <c r="J144" s="1174">
        <v>-25241</v>
      </c>
      <c r="K144" s="1174" t="s">
        <v>5702</v>
      </c>
      <c r="L144" s="1174" t="s">
        <v>289</v>
      </c>
      <c r="M144" s="1176">
        <f>3305+1458</f>
        <v>4763</v>
      </c>
      <c r="N144" s="1174" t="s">
        <v>5639</v>
      </c>
      <c r="O144" s="1174">
        <v>0.44</v>
      </c>
      <c r="P144" s="1174" t="s">
        <v>2980</v>
      </c>
      <c r="Q144" s="1175">
        <v>2.0000000000000002E-15</v>
      </c>
      <c r="R144" s="1174">
        <v>-7.0000000000000007E-2</v>
      </c>
      <c r="S144" s="1182" t="s">
        <v>35</v>
      </c>
      <c r="T144" s="1173">
        <v>19744961</v>
      </c>
    </row>
    <row r="145" spans="1:20" x14ac:dyDescent="0.25">
      <c r="A145" s="1452"/>
      <c r="B145" s="1443"/>
      <c r="C145" s="1443"/>
      <c r="D145" s="1456"/>
      <c r="E145" s="1459"/>
      <c r="F145" s="1174" t="s">
        <v>5676</v>
      </c>
      <c r="G145" s="1174">
        <v>49208865</v>
      </c>
      <c r="H145" s="1148" t="s">
        <v>2670</v>
      </c>
      <c r="I145" s="1174">
        <v>0.40356500000000001</v>
      </c>
      <c r="J145" s="1174">
        <v>-23361</v>
      </c>
      <c r="K145" s="1174" t="s">
        <v>5675</v>
      </c>
      <c r="L145" s="1174" t="s">
        <v>289</v>
      </c>
      <c r="M145" s="1176">
        <f>896+3204+1174+357</f>
        <v>5631</v>
      </c>
      <c r="N145" s="1174" t="s">
        <v>16</v>
      </c>
      <c r="O145" s="1174">
        <v>0.43099999999999999</v>
      </c>
      <c r="P145" s="1174" t="s">
        <v>5670</v>
      </c>
      <c r="Q145" s="1175">
        <v>2E-8</v>
      </c>
      <c r="R145" s="1174"/>
      <c r="S145" s="1182" t="s">
        <v>35</v>
      </c>
      <c r="T145" s="1173">
        <v>20570966</v>
      </c>
    </row>
    <row r="146" spans="1:20" x14ac:dyDescent="0.25">
      <c r="A146" s="1452"/>
      <c r="B146" s="1443"/>
      <c r="C146" s="1443"/>
      <c r="D146" s="1456"/>
      <c r="E146" s="1459"/>
      <c r="F146" s="1174" t="s">
        <v>5674</v>
      </c>
      <c r="G146" s="1174">
        <v>49208978</v>
      </c>
      <c r="H146" s="1148" t="s">
        <v>2670</v>
      </c>
      <c r="I146" s="1174">
        <v>0.46639900000000001</v>
      </c>
      <c r="J146" s="1174">
        <v>-23248</v>
      </c>
      <c r="K146" s="1174" t="s">
        <v>5673</v>
      </c>
      <c r="L146" s="1174" t="s">
        <v>289</v>
      </c>
      <c r="M146" s="1176">
        <f>3966+1444</f>
        <v>5410</v>
      </c>
      <c r="N146" s="1174" t="s">
        <v>24</v>
      </c>
      <c r="O146" s="1174">
        <v>0.43</v>
      </c>
      <c r="P146" s="1174" t="s">
        <v>5670</v>
      </c>
      <c r="Q146" s="1175">
        <v>6E-9</v>
      </c>
      <c r="R146" s="1174">
        <v>0.04</v>
      </c>
      <c r="S146" s="1182" t="s">
        <v>35</v>
      </c>
      <c r="T146" s="1173">
        <v>25028398</v>
      </c>
    </row>
    <row r="147" spans="1:20" ht="45" x14ac:dyDescent="0.25">
      <c r="A147" s="1452"/>
      <c r="B147" s="1443"/>
      <c r="C147" s="1443"/>
      <c r="D147" s="1456"/>
      <c r="E147" s="1459"/>
      <c r="F147" s="1174" t="s">
        <v>5672</v>
      </c>
      <c r="G147" s="1174">
        <v>49209010</v>
      </c>
      <c r="H147" s="1148" t="s">
        <v>2670</v>
      </c>
      <c r="I147" s="1174">
        <v>0.39652500000000002</v>
      </c>
      <c r="J147" s="1174">
        <v>-23216</v>
      </c>
      <c r="K147" s="1174" t="s">
        <v>5701</v>
      </c>
      <c r="L147" s="1174" t="s">
        <v>289</v>
      </c>
      <c r="M147" s="1176">
        <f>5591+1767</f>
        <v>7358</v>
      </c>
      <c r="N147" s="1174" t="s">
        <v>23</v>
      </c>
      <c r="O147" s="1174">
        <v>0.53</v>
      </c>
      <c r="P147" s="1174" t="s">
        <v>5670</v>
      </c>
      <c r="Q147" s="1175">
        <v>1E-13</v>
      </c>
      <c r="R147" s="1174">
        <v>4.4999999999999998E-2</v>
      </c>
      <c r="S147" s="1182" t="s">
        <v>35</v>
      </c>
      <c r="T147" s="1173">
        <v>24816252</v>
      </c>
    </row>
    <row r="148" spans="1:20" x14ac:dyDescent="0.25">
      <c r="A148" s="1452"/>
      <c r="B148" s="1443"/>
      <c r="C148" s="1443"/>
      <c r="D148" s="1456"/>
      <c r="E148" s="1459"/>
      <c r="F148" s="1174" t="s">
        <v>5700</v>
      </c>
      <c r="G148" s="1174">
        <v>49214274</v>
      </c>
      <c r="H148" s="1148" t="s">
        <v>5668</v>
      </c>
      <c r="I148" s="1174">
        <v>0.63134500000000005</v>
      </c>
      <c r="J148" s="1174">
        <v>-17952</v>
      </c>
      <c r="K148" s="1174" t="s">
        <v>5675</v>
      </c>
      <c r="L148" s="1174" t="s">
        <v>289</v>
      </c>
      <c r="M148" s="1176">
        <f>6333+15056+15694+14026+414</f>
        <v>51523</v>
      </c>
      <c r="N148" s="1174" t="s">
        <v>16</v>
      </c>
      <c r="O148" s="1174">
        <v>0.48699999999999999</v>
      </c>
      <c r="P148" s="1174" t="s">
        <v>3558</v>
      </c>
      <c r="Q148" s="1175">
        <v>7.0000000000000001E-12</v>
      </c>
      <c r="R148" s="1174">
        <v>1.07</v>
      </c>
      <c r="S148" s="1182" t="s">
        <v>35</v>
      </c>
      <c r="T148" s="1173">
        <v>21102463</v>
      </c>
    </row>
    <row r="149" spans="1:20" ht="30" x14ac:dyDescent="0.25">
      <c r="A149" s="1452"/>
      <c r="B149" s="1443"/>
      <c r="C149" s="1443"/>
      <c r="D149" s="1456"/>
      <c r="E149" s="1459"/>
      <c r="F149" s="1174" t="s">
        <v>5700</v>
      </c>
      <c r="G149" s="1174">
        <v>49214274</v>
      </c>
      <c r="H149" s="1148" t="s">
        <v>5668</v>
      </c>
      <c r="I149" s="1174">
        <v>0.63134500000000005</v>
      </c>
      <c r="J149" s="1174">
        <v>-17952</v>
      </c>
      <c r="K149" s="1174" t="s">
        <v>5699</v>
      </c>
      <c r="L149" s="1174" t="s">
        <v>289</v>
      </c>
      <c r="M149" s="1176">
        <f>7161+6879+5133+4577</f>
        <v>23750</v>
      </c>
      <c r="N149" s="1174" t="s">
        <v>24</v>
      </c>
      <c r="O149" s="1174">
        <v>0.52</v>
      </c>
      <c r="P149" s="1174" t="s">
        <v>3558</v>
      </c>
      <c r="Q149" s="1175">
        <v>4.9999999999999998E-8</v>
      </c>
      <c r="R149" s="1174">
        <v>7.0000000000000007E-2</v>
      </c>
      <c r="S149" s="1182" t="s">
        <v>35</v>
      </c>
      <c r="T149" s="1173">
        <v>23449627</v>
      </c>
    </row>
    <row r="150" spans="1:20" ht="30" x14ac:dyDescent="0.25">
      <c r="A150" s="1452"/>
      <c r="B150" s="1443"/>
      <c r="C150" s="1443"/>
      <c r="D150" s="1456"/>
      <c r="E150" s="1459"/>
      <c r="F150" s="1174" t="s">
        <v>5669</v>
      </c>
      <c r="G150" s="1174">
        <v>49214470</v>
      </c>
      <c r="H150" s="1148" t="s">
        <v>5668</v>
      </c>
      <c r="I150" s="1174">
        <v>0.218333</v>
      </c>
      <c r="J150" s="1174">
        <v>-17756</v>
      </c>
      <c r="K150" s="1174" t="s">
        <v>5667</v>
      </c>
      <c r="L150" s="1174" t="s">
        <v>289</v>
      </c>
      <c r="M150" s="1176">
        <f>9772+16849+4218+7296</f>
        <v>38135</v>
      </c>
      <c r="N150" s="1174" t="s">
        <v>24</v>
      </c>
      <c r="O150" s="1174" t="s">
        <v>5639</v>
      </c>
      <c r="P150" s="1174" t="s">
        <v>3558</v>
      </c>
      <c r="Q150" s="1175">
        <v>1.9999999999999999E-6</v>
      </c>
      <c r="R150" s="1174">
        <v>1.08</v>
      </c>
      <c r="S150" s="1182" t="s">
        <v>35</v>
      </c>
      <c r="T150" s="1173">
        <v>21833088</v>
      </c>
    </row>
    <row r="151" spans="1:20" ht="30" x14ac:dyDescent="0.25">
      <c r="A151" s="1452"/>
      <c r="B151" s="1443"/>
      <c r="C151" s="1443"/>
      <c r="D151" s="1456"/>
      <c r="E151" s="1459"/>
      <c r="F151" s="1174" t="s">
        <v>5666</v>
      </c>
      <c r="G151" s="1174">
        <v>49228272</v>
      </c>
      <c r="H151" s="1148" t="s">
        <v>186</v>
      </c>
      <c r="I151" s="1174">
        <v>0.99019800000000002</v>
      </c>
      <c r="J151" s="1174">
        <v>-3954</v>
      </c>
      <c r="K151" s="1174" t="s">
        <v>5698</v>
      </c>
      <c r="L151" s="1174" t="s">
        <v>289</v>
      </c>
      <c r="M151" s="1176">
        <f>7481+9250+4496+42422</f>
        <v>63649</v>
      </c>
      <c r="N151" s="1174" t="s">
        <v>17</v>
      </c>
      <c r="O151" s="1174" t="s">
        <v>5639</v>
      </c>
      <c r="P151" s="1174" t="s">
        <v>5657</v>
      </c>
      <c r="Q151" s="1175">
        <v>3.0000000000000001E-6</v>
      </c>
      <c r="R151" s="1174">
        <v>1.1000000000000001</v>
      </c>
      <c r="S151" s="1182" t="s">
        <v>35</v>
      </c>
      <c r="T151" s="1173">
        <v>21926972</v>
      </c>
    </row>
    <row r="152" spans="1:20" ht="30" x14ac:dyDescent="0.25">
      <c r="A152" s="1452"/>
      <c r="B152" s="1443"/>
      <c r="C152" s="1443"/>
      <c r="D152" s="1456"/>
      <c r="E152" s="1459"/>
      <c r="F152" s="1174" t="s">
        <v>5666</v>
      </c>
      <c r="G152" s="1174">
        <v>49228272</v>
      </c>
      <c r="H152" s="1148" t="s">
        <v>186</v>
      </c>
      <c r="I152" s="1174">
        <v>0.99019800000000002</v>
      </c>
      <c r="J152" s="1174">
        <v>-3954</v>
      </c>
      <c r="K152" s="1174" t="s">
        <v>5697</v>
      </c>
      <c r="L152" s="1174" t="s">
        <v>289</v>
      </c>
      <c r="M152" s="1176">
        <f>15358+6652</f>
        <v>22010</v>
      </c>
      <c r="N152" s="1174" t="s">
        <v>23</v>
      </c>
      <c r="O152" s="1174">
        <v>0.47</v>
      </c>
      <c r="P152" s="1174" t="s">
        <v>5657</v>
      </c>
      <c r="Q152" s="1175">
        <v>2.0000000000000001E-25</v>
      </c>
      <c r="R152" s="1174">
        <v>-2.1</v>
      </c>
      <c r="S152" s="1182" t="s">
        <v>35</v>
      </c>
      <c r="T152" s="1173">
        <v>21060863</v>
      </c>
    </row>
    <row r="153" spans="1:20" ht="30" x14ac:dyDescent="0.25">
      <c r="A153" s="1452"/>
      <c r="B153" s="1443"/>
      <c r="C153" s="1443"/>
      <c r="D153" s="1456"/>
      <c r="E153" s="1459"/>
      <c r="F153" s="1174" t="s">
        <v>5666</v>
      </c>
      <c r="G153" s="1174">
        <v>49228272</v>
      </c>
      <c r="H153" s="1148" t="s">
        <v>186</v>
      </c>
      <c r="I153" s="1174">
        <v>0.99019800000000002</v>
      </c>
      <c r="J153" s="1174">
        <v>-3954</v>
      </c>
      <c r="K153" s="1174" t="s">
        <v>5696</v>
      </c>
      <c r="L153" s="1174" t="s">
        <v>5662</v>
      </c>
      <c r="M153" s="1176">
        <f>835+601</f>
        <v>1436</v>
      </c>
      <c r="N153" s="1174" t="s">
        <v>17</v>
      </c>
      <c r="O153" s="1174">
        <v>0.48</v>
      </c>
      <c r="P153" s="1174" t="s">
        <v>5657</v>
      </c>
      <c r="Q153" s="1175">
        <v>9.9999999999999998E-13</v>
      </c>
      <c r="R153" s="1174">
        <v>0.3</v>
      </c>
      <c r="S153" s="1182" t="s">
        <v>35</v>
      </c>
      <c r="T153" s="1173">
        <v>24586186</v>
      </c>
    </row>
    <row r="154" spans="1:20" ht="30" x14ac:dyDescent="0.25">
      <c r="A154" s="1452"/>
      <c r="B154" s="1443"/>
      <c r="C154" s="1443"/>
      <c r="D154" s="1456"/>
      <c r="E154" s="1459"/>
      <c r="F154" s="1174" t="s">
        <v>5666</v>
      </c>
      <c r="G154" s="1174">
        <v>49228272</v>
      </c>
      <c r="H154" s="1148" t="s">
        <v>186</v>
      </c>
      <c r="I154" s="1174">
        <v>0.99019800000000002</v>
      </c>
      <c r="J154" s="1174">
        <v>-3954</v>
      </c>
      <c r="K154" s="1174" t="s">
        <v>5695</v>
      </c>
      <c r="L154" s="1174" t="s">
        <v>5662</v>
      </c>
      <c r="M154" s="1176">
        <f>835+601</f>
        <v>1436</v>
      </c>
      <c r="N154" s="1174" t="s">
        <v>17</v>
      </c>
      <c r="O154" s="1174">
        <v>0.48</v>
      </c>
      <c r="P154" s="1174" t="s">
        <v>5657</v>
      </c>
      <c r="Q154" s="1175">
        <v>3.0000000000000002E-36</v>
      </c>
      <c r="R154" s="1174">
        <v>0.48</v>
      </c>
      <c r="S154" s="1182" t="s">
        <v>35</v>
      </c>
      <c r="T154" s="1173">
        <v>24586186</v>
      </c>
    </row>
    <row r="155" spans="1:20" ht="30" x14ac:dyDescent="0.25">
      <c r="A155" s="1452"/>
      <c r="B155" s="1443"/>
      <c r="C155" s="1443"/>
      <c r="D155" s="1456"/>
      <c r="E155" s="1459"/>
      <c r="F155" s="1174" t="s">
        <v>5666</v>
      </c>
      <c r="G155" s="1174">
        <v>49228272</v>
      </c>
      <c r="H155" s="1148" t="s">
        <v>186</v>
      </c>
      <c r="I155" s="1174">
        <v>0.99019800000000002</v>
      </c>
      <c r="J155" s="1174">
        <v>-3954</v>
      </c>
      <c r="K155" s="1174" t="s">
        <v>5694</v>
      </c>
      <c r="L155" s="1174" t="s">
        <v>5649</v>
      </c>
      <c r="M155" s="1176">
        <f>1725+258+117</f>
        <v>2100</v>
      </c>
      <c r="N155" s="1174" t="s">
        <v>17</v>
      </c>
      <c r="O155" s="1174">
        <v>0.47099999999999997</v>
      </c>
      <c r="P155" s="1174" t="s">
        <v>5657</v>
      </c>
      <c r="Q155" s="1175">
        <v>8.9999999999999996E-7</v>
      </c>
      <c r="R155" s="1174">
        <v>0.14000000000000001</v>
      </c>
      <c r="S155" s="1182" t="s">
        <v>35</v>
      </c>
      <c r="T155" s="1173">
        <v>25147783</v>
      </c>
    </row>
    <row r="156" spans="1:20" ht="30" x14ac:dyDescent="0.25">
      <c r="A156" s="1452"/>
      <c r="B156" s="1443"/>
      <c r="C156" s="1443"/>
      <c r="D156" s="1456"/>
      <c r="E156" s="1459"/>
      <c r="F156" s="1174" t="s">
        <v>5664</v>
      </c>
      <c r="G156" s="1174">
        <v>49233406</v>
      </c>
      <c r="H156" s="1148" t="s">
        <v>186</v>
      </c>
      <c r="I156" s="1174">
        <v>0.25968200000000002</v>
      </c>
      <c r="J156" s="1174">
        <v>1180</v>
      </c>
      <c r="K156" s="1174" t="s">
        <v>5663</v>
      </c>
      <c r="L156" s="1174" t="s">
        <v>5662</v>
      </c>
      <c r="M156" s="1176">
        <f>835+601</f>
        <v>1436</v>
      </c>
      <c r="N156" s="1174" t="s">
        <v>17</v>
      </c>
      <c r="O156" s="1174">
        <v>0.45</v>
      </c>
      <c r="P156" s="1174" t="s">
        <v>3172</v>
      </c>
      <c r="Q156" s="1175">
        <v>4.0000000000000002E-32</v>
      </c>
      <c r="R156" s="1174">
        <v>0.42</v>
      </c>
      <c r="S156" s="1182" t="s">
        <v>35</v>
      </c>
      <c r="T156" s="1173">
        <v>24586186</v>
      </c>
    </row>
    <row r="157" spans="1:20" x14ac:dyDescent="0.25">
      <c r="A157" s="1452"/>
      <c r="B157" s="1443"/>
      <c r="C157" s="1443"/>
      <c r="D157" s="1456"/>
      <c r="E157" s="1459"/>
      <c r="F157" s="1174" t="s">
        <v>5661</v>
      </c>
      <c r="G157" s="1174">
        <v>49241014</v>
      </c>
      <c r="H157" s="1148" t="s">
        <v>186</v>
      </c>
      <c r="I157" s="1174">
        <v>0.92954899999999996</v>
      </c>
      <c r="J157" s="1174">
        <v>8788</v>
      </c>
      <c r="K157" s="1174" t="s">
        <v>5660</v>
      </c>
      <c r="L157" s="1174" t="s">
        <v>289</v>
      </c>
      <c r="M157" s="1176">
        <f>2079+4212+11899</f>
        <v>18190</v>
      </c>
      <c r="N157" s="1174" t="s">
        <v>5639</v>
      </c>
      <c r="O157" s="1174" t="s">
        <v>5639</v>
      </c>
      <c r="P157" s="1174" t="s">
        <v>3172</v>
      </c>
      <c r="Q157" s="1175">
        <v>4.0000000000000002E-22</v>
      </c>
      <c r="R157" s="1174" t="s">
        <v>5639</v>
      </c>
      <c r="S157" s="1182" t="s">
        <v>35</v>
      </c>
      <c r="T157" s="1173">
        <v>25574825</v>
      </c>
    </row>
    <row r="158" spans="1:20" ht="30" x14ac:dyDescent="0.25">
      <c r="A158" s="1452"/>
      <c r="B158" s="1443"/>
      <c r="C158" s="1443"/>
      <c r="D158" s="1456"/>
      <c r="E158" s="1459"/>
      <c r="F158" s="1174" t="s">
        <v>5659</v>
      </c>
      <c r="G158" s="1174">
        <v>49246866</v>
      </c>
      <c r="H158" s="1148" t="s">
        <v>190</v>
      </c>
      <c r="I158" s="1174">
        <v>0.74721400000000004</v>
      </c>
      <c r="J158" s="1174">
        <v>14640</v>
      </c>
      <c r="K158" s="1174" t="s">
        <v>5658</v>
      </c>
      <c r="L158" s="1174" t="s">
        <v>289</v>
      </c>
      <c r="M158" s="1176">
        <f>37537+33533</f>
        <v>71070</v>
      </c>
      <c r="N158" s="1174" t="s">
        <v>16</v>
      </c>
      <c r="O158" s="1174">
        <v>0.48</v>
      </c>
      <c r="P158" s="1174" t="s">
        <v>5657</v>
      </c>
      <c r="Q158" s="1175">
        <v>6.9999999999999997E-7</v>
      </c>
      <c r="R158" s="1174">
        <v>0.22</v>
      </c>
      <c r="S158" s="1182" t="s">
        <v>35</v>
      </c>
      <c r="T158" s="1173">
        <v>23636237</v>
      </c>
    </row>
    <row r="159" spans="1:20" ht="30" x14ac:dyDescent="0.25">
      <c r="A159" s="1452"/>
      <c r="B159" s="1443"/>
      <c r="C159" s="1443"/>
      <c r="D159" s="1456"/>
      <c r="E159" s="1459"/>
      <c r="F159" s="1174" t="s">
        <v>5692</v>
      </c>
      <c r="G159" s="1174">
        <v>49248730</v>
      </c>
      <c r="H159" s="1148" t="s">
        <v>190</v>
      </c>
      <c r="I159" s="1174">
        <v>0.73115600000000003</v>
      </c>
      <c r="J159" s="1174">
        <v>16504</v>
      </c>
      <c r="K159" s="1174" t="s">
        <v>5693</v>
      </c>
      <c r="L159" s="1174" t="s">
        <v>289</v>
      </c>
      <c r="M159" s="1176">
        <f>37537+33533</f>
        <v>71070</v>
      </c>
      <c r="N159" s="1174" t="s">
        <v>24</v>
      </c>
      <c r="O159" s="1174">
        <v>0.46</v>
      </c>
      <c r="P159" s="1174" t="s">
        <v>5657</v>
      </c>
      <c r="Q159" s="1175">
        <v>4.0000000000000001E-10</v>
      </c>
      <c r="R159" s="1174">
        <v>-0.22</v>
      </c>
      <c r="S159" s="1182" t="s">
        <v>35</v>
      </c>
      <c r="T159" s="1173">
        <v>23636237</v>
      </c>
    </row>
    <row r="160" spans="1:20" ht="30" x14ac:dyDescent="0.25">
      <c r="A160" s="1452"/>
      <c r="B160" s="1443"/>
      <c r="C160" s="1443"/>
      <c r="D160" s="1456"/>
      <c r="E160" s="1459"/>
      <c r="F160" s="1174" t="s">
        <v>5692</v>
      </c>
      <c r="G160" s="1174">
        <v>49248730</v>
      </c>
      <c r="H160" s="1148" t="s">
        <v>190</v>
      </c>
      <c r="I160" s="1174">
        <v>0.73115600000000003</v>
      </c>
      <c r="J160" s="1174">
        <v>16504</v>
      </c>
      <c r="K160" s="1174" t="s">
        <v>5658</v>
      </c>
      <c r="L160" s="1174" t="s">
        <v>289</v>
      </c>
      <c r="M160" s="1176">
        <f>37537+33533</f>
        <v>71070</v>
      </c>
      <c r="N160" s="1174" t="s">
        <v>24</v>
      </c>
      <c r="O160" s="1174">
        <v>0.46</v>
      </c>
      <c r="P160" s="1174" t="s">
        <v>5657</v>
      </c>
      <c r="Q160" s="1175">
        <v>2.9999999999999999E-7</v>
      </c>
      <c r="R160" s="1174">
        <v>0.23</v>
      </c>
      <c r="S160" s="1182" t="s">
        <v>35</v>
      </c>
      <c r="T160" s="1173">
        <v>23636237</v>
      </c>
    </row>
    <row r="161" spans="1:20" ht="30" x14ac:dyDescent="0.25">
      <c r="A161" s="1453"/>
      <c r="B161" s="1444"/>
      <c r="C161" s="1444"/>
      <c r="D161" s="1457"/>
      <c r="E161" s="1460"/>
      <c r="F161" s="1170" t="s">
        <v>5656</v>
      </c>
      <c r="G161" s="1170">
        <v>49259529</v>
      </c>
      <c r="H161" s="1145" t="s">
        <v>5655</v>
      </c>
      <c r="I161" s="1170">
        <v>0.57295099999999999</v>
      </c>
      <c r="J161" s="1170">
        <v>27303</v>
      </c>
      <c r="K161" s="1170" t="s">
        <v>5691</v>
      </c>
      <c r="L161" s="1170" t="s">
        <v>289</v>
      </c>
      <c r="M161" s="1172">
        <f>33533+38360</f>
        <v>71893</v>
      </c>
      <c r="N161" s="1170" t="s">
        <v>16</v>
      </c>
      <c r="O161" s="1170">
        <v>0.45</v>
      </c>
      <c r="P161" s="1170" t="s">
        <v>3742</v>
      </c>
      <c r="Q161" s="1171">
        <v>8.0000000000000005E-9</v>
      </c>
      <c r="R161" s="1170">
        <v>-0.11</v>
      </c>
      <c r="S161" s="1182" t="s">
        <v>35</v>
      </c>
      <c r="T161" s="1169">
        <v>23372041</v>
      </c>
    </row>
    <row r="162" spans="1:20" x14ac:dyDescent="0.25">
      <c r="A162" s="1451">
        <v>19</v>
      </c>
      <c r="B162" s="1454" t="s">
        <v>189</v>
      </c>
      <c r="C162" s="1454">
        <v>49244220</v>
      </c>
      <c r="D162" s="1455" t="s">
        <v>190</v>
      </c>
      <c r="E162" s="1458">
        <v>0.55769999999999997</v>
      </c>
      <c r="F162" s="1178" t="s">
        <v>5687</v>
      </c>
      <c r="G162" s="1178">
        <v>49206172</v>
      </c>
      <c r="H162" s="1181" t="s">
        <v>2670</v>
      </c>
      <c r="I162" s="1178">
        <v>0.31506600000000001</v>
      </c>
      <c r="J162" s="1178">
        <v>-38048</v>
      </c>
      <c r="K162" s="1178" t="s">
        <v>5690</v>
      </c>
      <c r="L162" s="1178" t="s">
        <v>5652</v>
      </c>
      <c r="M162" s="1180">
        <f>5956+14927+14594+26715+151+342+184+990+1690+3719</f>
        <v>69268</v>
      </c>
      <c r="N162" s="1178" t="s">
        <v>16</v>
      </c>
      <c r="O162" s="1178">
        <v>0.4652</v>
      </c>
      <c r="P162" s="1178" t="s">
        <v>3172</v>
      </c>
      <c r="Q162" s="1179">
        <v>9.9999999999999995E-21</v>
      </c>
      <c r="R162" s="1178">
        <v>1.1213976999999999</v>
      </c>
      <c r="S162" s="1183" t="s">
        <v>35</v>
      </c>
      <c r="T162" s="1177">
        <v>26192919</v>
      </c>
    </row>
    <row r="163" spans="1:20" x14ac:dyDescent="0.25">
      <c r="A163" s="1452"/>
      <c r="B163" s="1443"/>
      <c r="C163" s="1443"/>
      <c r="D163" s="1456"/>
      <c r="E163" s="1459"/>
      <c r="F163" s="1174" t="s">
        <v>5687</v>
      </c>
      <c r="G163" s="1174">
        <v>49206172</v>
      </c>
      <c r="H163" s="1148" t="s">
        <v>2670</v>
      </c>
      <c r="I163" s="1174">
        <v>0.31506600000000001</v>
      </c>
      <c r="J163" s="1174">
        <v>-38048</v>
      </c>
      <c r="K163" s="1174" t="s">
        <v>5675</v>
      </c>
      <c r="L163" s="1174" t="s">
        <v>289</v>
      </c>
      <c r="M163" s="1176">
        <f>12924+21442+25683+17015</f>
        <v>77064</v>
      </c>
      <c r="N163" s="1174" t="s">
        <v>23</v>
      </c>
      <c r="O163" s="1174">
        <v>0.48299999999999998</v>
      </c>
      <c r="P163" s="1174" t="s">
        <v>3172</v>
      </c>
      <c r="Q163" s="1175">
        <v>1.0000000000000001E-15</v>
      </c>
      <c r="R163" s="1174">
        <v>1.107</v>
      </c>
      <c r="S163" s="1182" t="s">
        <v>35</v>
      </c>
      <c r="T163" s="1173">
        <v>23128233</v>
      </c>
    </row>
    <row r="164" spans="1:20" ht="30" x14ac:dyDescent="0.25">
      <c r="A164" s="1452"/>
      <c r="B164" s="1443"/>
      <c r="C164" s="1443"/>
      <c r="D164" s="1456"/>
      <c r="E164" s="1459"/>
      <c r="F164" s="1174" t="s">
        <v>5687</v>
      </c>
      <c r="G164" s="1174">
        <v>49206172</v>
      </c>
      <c r="H164" s="1148" t="s">
        <v>2670</v>
      </c>
      <c r="I164" s="1174">
        <v>0.31506600000000001</v>
      </c>
      <c r="J164" s="1174">
        <v>-38048</v>
      </c>
      <c r="K164" s="1174" t="s">
        <v>5689</v>
      </c>
      <c r="L164" s="1174" t="s">
        <v>5688</v>
      </c>
      <c r="M164" s="1176">
        <f>52350+8739</f>
        <v>61089</v>
      </c>
      <c r="N164" s="1174" t="s">
        <v>23</v>
      </c>
      <c r="O164" s="1174">
        <v>0.47</v>
      </c>
      <c r="P164" s="1174" t="s">
        <v>3172</v>
      </c>
      <c r="Q164" s="1175">
        <v>8.0000000000000003E-10</v>
      </c>
      <c r="R164" s="1174">
        <v>2.2999999999999998</v>
      </c>
      <c r="S164" s="1182" t="s">
        <v>35</v>
      </c>
      <c r="T164" s="1173">
        <v>22001757</v>
      </c>
    </row>
    <row r="165" spans="1:20" x14ac:dyDescent="0.25">
      <c r="A165" s="1452"/>
      <c r="B165" s="1443"/>
      <c r="C165" s="1443"/>
      <c r="D165" s="1456"/>
      <c r="E165" s="1459"/>
      <c r="F165" s="1174" t="s">
        <v>5687</v>
      </c>
      <c r="G165" s="1174">
        <v>49206172</v>
      </c>
      <c r="H165" s="1148" t="s">
        <v>2670</v>
      </c>
      <c r="I165" s="1174">
        <v>0.31506600000000001</v>
      </c>
      <c r="J165" s="1174">
        <v>-38048</v>
      </c>
      <c r="K165" s="1174" t="s">
        <v>5686</v>
      </c>
      <c r="L165" s="1174" t="s">
        <v>5685</v>
      </c>
      <c r="M165" s="1176">
        <f>815+263</f>
        <v>1078</v>
      </c>
      <c r="N165" s="1174" t="s">
        <v>16</v>
      </c>
      <c r="O165" s="1174">
        <v>0.27200000000000002</v>
      </c>
      <c r="P165" s="1174" t="s">
        <v>3172</v>
      </c>
      <c r="Q165" s="1175">
        <v>1.9999999999999999E-6</v>
      </c>
      <c r="R165" s="1174">
        <v>0.03</v>
      </c>
      <c r="S165" s="1174" t="s">
        <v>7</v>
      </c>
      <c r="T165" s="1173">
        <v>23251661</v>
      </c>
    </row>
    <row r="166" spans="1:20" x14ac:dyDescent="0.25">
      <c r="A166" s="1452"/>
      <c r="B166" s="1443"/>
      <c r="C166" s="1443"/>
      <c r="D166" s="1456"/>
      <c r="E166" s="1459"/>
      <c r="F166" s="1174" t="s">
        <v>2671</v>
      </c>
      <c r="G166" s="1174">
        <v>49206417</v>
      </c>
      <c r="H166" s="1148" t="s">
        <v>2670</v>
      </c>
      <c r="I166" s="1174">
        <v>0.31668400000000002</v>
      </c>
      <c r="J166" s="1174">
        <v>-37803</v>
      </c>
      <c r="K166" s="1174" t="s">
        <v>5684</v>
      </c>
      <c r="L166" s="1174" t="s">
        <v>289</v>
      </c>
      <c r="M166" s="1176">
        <f>1658+1059</f>
        <v>2717</v>
      </c>
      <c r="N166" s="1174" t="s">
        <v>24</v>
      </c>
      <c r="O166" s="1174">
        <v>0.49</v>
      </c>
      <c r="P166" s="1174" t="s">
        <v>3742</v>
      </c>
      <c r="Q166" s="1175">
        <v>4.9999999999999999E-17</v>
      </c>
      <c r="R166" s="1174">
        <v>-0.09</v>
      </c>
      <c r="S166" s="1182" t="s">
        <v>35</v>
      </c>
      <c r="T166" s="1173">
        <v>18776911</v>
      </c>
    </row>
    <row r="167" spans="1:20" ht="30" x14ac:dyDescent="0.25">
      <c r="A167" s="1452"/>
      <c r="B167" s="1443"/>
      <c r="C167" s="1443"/>
      <c r="D167" s="1456"/>
      <c r="E167" s="1459"/>
      <c r="F167" s="1174" t="s">
        <v>5683</v>
      </c>
      <c r="G167" s="1174">
        <v>49206603</v>
      </c>
      <c r="H167" s="1148" t="s">
        <v>2670</v>
      </c>
      <c r="I167" s="1174">
        <v>0.53473700000000002</v>
      </c>
      <c r="J167" s="1174">
        <v>-37617</v>
      </c>
      <c r="K167" s="1174" t="s">
        <v>5682</v>
      </c>
      <c r="L167" s="1174" t="s">
        <v>289</v>
      </c>
      <c r="M167" s="1176">
        <f>52350+8739</f>
        <v>61089</v>
      </c>
      <c r="N167" s="1174" t="s">
        <v>23</v>
      </c>
      <c r="O167" s="1174">
        <v>0.43</v>
      </c>
      <c r="P167" s="1174" t="s">
        <v>3742</v>
      </c>
      <c r="Q167" s="1175">
        <v>1.0000000000000001E-15</v>
      </c>
      <c r="R167" s="1174">
        <v>1.8</v>
      </c>
      <c r="S167" s="1174" t="s">
        <v>7</v>
      </c>
      <c r="T167" s="1173">
        <v>22001757</v>
      </c>
    </row>
    <row r="168" spans="1:20" ht="45" x14ac:dyDescent="0.25">
      <c r="A168" s="1452"/>
      <c r="B168" s="1443"/>
      <c r="C168" s="1443"/>
      <c r="D168" s="1456"/>
      <c r="E168" s="1459"/>
      <c r="F168" s="1174" t="s">
        <v>5681</v>
      </c>
      <c r="G168" s="1174">
        <v>49206674</v>
      </c>
      <c r="H168" s="1148" t="s">
        <v>2670</v>
      </c>
      <c r="I168" s="1174">
        <v>0.31668400000000002</v>
      </c>
      <c r="J168" s="1174">
        <v>-37546</v>
      </c>
      <c r="K168" s="1174" t="s">
        <v>5680</v>
      </c>
      <c r="L168" s="1174" t="s">
        <v>289</v>
      </c>
      <c r="M168" s="1176">
        <f>5591+1767</f>
        <v>7358</v>
      </c>
      <c r="N168" s="1174" t="s">
        <v>16</v>
      </c>
      <c r="O168" s="1174">
        <v>0.43</v>
      </c>
      <c r="P168" s="1174" t="s">
        <v>5679</v>
      </c>
      <c r="Q168" s="1175">
        <v>1.9999999999999999E-20</v>
      </c>
      <c r="R168" s="1174">
        <v>-5.5E-2</v>
      </c>
      <c r="S168" s="1174" t="s">
        <v>1065</v>
      </c>
      <c r="T168" s="1173">
        <v>24816252</v>
      </c>
    </row>
    <row r="169" spans="1:20" ht="30" x14ac:dyDescent="0.25">
      <c r="A169" s="1452"/>
      <c r="B169" s="1443"/>
      <c r="C169" s="1443"/>
      <c r="D169" s="1456"/>
      <c r="E169" s="1459"/>
      <c r="F169" s="1174" t="s">
        <v>5678</v>
      </c>
      <c r="G169" s="1174">
        <v>49206985</v>
      </c>
      <c r="H169" s="1148" t="s">
        <v>2670</v>
      </c>
      <c r="I169" s="1174">
        <v>0.31567899999999999</v>
      </c>
      <c r="J169" s="1174">
        <v>-37235</v>
      </c>
      <c r="K169" s="1174" t="s">
        <v>5677</v>
      </c>
      <c r="L169" s="1174" t="s">
        <v>289</v>
      </c>
      <c r="M169" s="1176">
        <f>2934+686</f>
        <v>3620</v>
      </c>
      <c r="N169" s="1174" t="s">
        <v>16</v>
      </c>
      <c r="O169" s="1174">
        <v>0.53</v>
      </c>
      <c r="P169" s="1174" t="s">
        <v>2980</v>
      </c>
      <c r="Q169" s="1175">
        <v>3.0000000000000003E-20</v>
      </c>
      <c r="R169" s="1174">
        <v>49.77</v>
      </c>
      <c r="S169" s="1182" t="s">
        <v>35</v>
      </c>
      <c r="T169" s="1173">
        <v>19303062</v>
      </c>
    </row>
    <row r="170" spans="1:20" x14ac:dyDescent="0.25">
      <c r="A170" s="1452"/>
      <c r="B170" s="1443"/>
      <c r="C170" s="1443"/>
      <c r="D170" s="1456"/>
      <c r="E170" s="1459"/>
      <c r="F170" s="1174" t="s">
        <v>5676</v>
      </c>
      <c r="G170" s="1174">
        <v>49208865</v>
      </c>
      <c r="H170" s="1148" t="s">
        <v>2670</v>
      </c>
      <c r="I170" s="1174">
        <v>0.30415900000000001</v>
      </c>
      <c r="J170" s="1174">
        <v>-35355</v>
      </c>
      <c r="K170" s="1174" t="s">
        <v>5675</v>
      </c>
      <c r="L170" s="1174" t="s">
        <v>289</v>
      </c>
      <c r="M170" s="1176">
        <f>896+3204+1174+357</f>
        <v>5631</v>
      </c>
      <c r="N170" s="1174" t="s">
        <v>16</v>
      </c>
      <c r="O170" s="1174">
        <v>0.43099999999999999</v>
      </c>
      <c r="P170" s="1174" t="s">
        <v>5670</v>
      </c>
      <c r="Q170" s="1175">
        <v>2E-8</v>
      </c>
      <c r="R170" s="1174" t="s">
        <v>5639</v>
      </c>
      <c r="S170" s="1182" t="s">
        <v>35</v>
      </c>
      <c r="T170" s="1173">
        <v>20570966</v>
      </c>
    </row>
    <row r="171" spans="1:20" x14ac:dyDescent="0.25">
      <c r="A171" s="1452"/>
      <c r="B171" s="1443"/>
      <c r="C171" s="1443"/>
      <c r="D171" s="1456"/>
      <c r="E171" s="1459"/>
      <c r="F171" s="1174" t="s">
        <v>5674</v>
      </c>
      <c r="G171" s="1174">
        <v>49208978</v>
      </c>
      <c r="H171" s="1148" t="s">
        <v>2670</v>
      </c>
      <c r="I171" s="1174">
        <v>0.29478300000000002</v>
      </c>
      <c r="J171" s="1174">
        <v>-35242</v>
      </c>
      <c r="K171" s="1174" t="s">
        <v>5673</v>
      </c>
      <c r="L171" s="1174" t="s">
        <v>289</v>
      </c>
      <c r="M171" s="1176">
        <f>3966+1444</f>
        <v>5410</v>
      </c>
      <c r="N171" s="1174" t="s">
        <v>24</v>
      </c>
      <c r="O171" s="1174">
        <v>0.43</v>
      </c>
      <c r="P171" s="1174" t="s">
        <v>5670</v>
      </c>
      <c r="Q171" s="1175">
        <v>6E-9</v>
      </c>
      <c r="R171" s="1174">
        <v>0.04</v>
      </c>
      <c r="S171" s="1174" t="s">
        <v>7</v>
      </c>
      <c r="T171" s="1173">
        <v>25028398</v>
      </c>
    </row>
    <row r="172" spans="1:20" x14ac:dyDescent="0.25">
      <c r="A172" s="1452"/>
      <c r="B172" s="1443"/>
      <c r="C172" s="1443"/>
      <c r="D172" s="1456"/>
      <c r="E172" s="1459"/>
      <c r="F172" s="1174" t="s">
        <v>5672</v>
      </c>
      <c r="G172" s="1174">
        <v>49209010</v>
      </c>
      <c r="H172" s="1148" t="s">
        <v>2670</v>
      </c>
      <c r="I172" s="1174">
        <v>0.296319</v>
      </c>
      <c r="J172" s="1174">
        <v>-35210</v>
      </c>
      <c r="K172" s="1174" t="s">
        <v>5671</v>
      </c>
      <c r="L172" s="1174" t="s">
        <v>289</v>
      </c>
      <c r="M172" s="1176">
        <f>2820</f>
        <v>2820</v>
      </c>
      <c r="N172" s="1174" t="s">
        <v>17</v>
      </c>
      <c r="O172" s="1174">
        <v>0.46400000000000002</v>
      </c>
      <c r="P172" s="1174" t="s">
        <v>5670</v>
      </c>
      <c r="Q172" s="1175">
        <v>3.9999999999999998E-20</v>
      </c>
      <c r="R172" s="1174">
        <v>0.129</v>
      </c>
      <c r="S172" s="1174" t="s">
        <v>7</v>
      </c>
      <c r="T172" s="1173">
        <v>21886157</v>
      </c>
    </row>
    <row r="173" spans="1:20" ht="30" x14ac:dyDescent="0.25">
      <c r="A173" s="1452"/>
      <c r="B173" s="1443"/>
      <c r="C173" s="1443"/>
      <c r="D173" s="1456"/>
      <c r="E173" s="1459"/>
      <c r="F173" s="1174" t="s">
        <v>5669</v>
      </c>
      <c r="G173" s="1174">
        <v>49214470</v>
      </c>
      <c r="H173" s="1148" t="s">
        <v>5668</v>
      </c>
      <c r="I173" s="1174">
        <v>0.63010500000000003</v>
      </c>
      <c r="J173" s="1174">
        <v>-29750</v>
      </c>
      <c r="K173" s="1174" t="s">
        <v>5667</v>
      </c>
      <c r="L173" s="1174" t="s">
        <v>289</v>
      </c>
      <c r="M173" s="1176">
        <f>9772+16849+4218+7296</f>
        <v>38135</v>
      </c>
      <c r="N173" s="1174" t="s">
        <v>24</v>
      </c>
      <c r="O173" s="1174" t="s">
        <v>5639</v>
      </c>
      <c r="P173" s="1174" t="s">
        <v>3558</v>
      </c>
      <c r="Q173" s="1175">
        <v>1.9999999999999999E-6</v>
      </c>
      <c r="R173" s="1174">
        <v>1.08</v>
      </c>
      <c r="S173" s="1182" t="s">
        <v>35</v>
      </c>
      <c r="T173" s="1173">
        <v>21833088</v>
      </c>
    </row>
    <row r="174" spans="1:20" ht="30" x14ac:dyDescent="0.25">
      <c r="A174" s="1452"/>
      <c r="B174" s="1443"/>
      <c r="C174" s="1443"/>
      <c r="D174" s="1456"/>
      <c r="E174" s="1459"/>
      <c r="F174" s="1174" t="s">
        <v>5666</v>
      </c>
      <c r="G174" s="1174">
        <v>49228272</v>
      </c>
      <c r="H174" s="1148" t="s">
        <v>186</v>
      </c>
      <c r="I174" s="1174">
        <v>0.2437</v>
      </c>
      <c r="J174" s="1174">
        <v>-15948</v>
      </c>
      <c r="K174" s="1174" t="s">
        <v>5665</v>
      </c>
      <c r="L174" s="1174" t="s">
        <v>5662</v>
      </c>
      <c r="M174" s="1176">
        <f>835+601</f>
        <v>1436</v>
      </c>
      <c r="N174" s="1174" t="s">
        <v>17</v>
      </c>
      <c r="O174" s="1174">
        <v>0.48</v>
      </c>
      <c r="P174" s="1174" t="s">
        <v>5657</v>
      </c>
      <c r="Q174" s="1175">
        <v>7.0000000000000003E-19</v>
      </c>
      <c r="R174" s="1174">
        <v>0.37</v>
      </c>
      <c r="S174" s="1182" t="s">
        <v>35</v>
      </c>
      <c r="T174" s="1173">
        <v>24586186</v>
      </c>
    </row>
    <row r="175" spans="1:20" ht="30" x14ac:dyDescent="0.25">
      <c r="A175" s="1452"/>
      <c r="B175" s="1443"/>
      <c r="C175" s="1443"/>
      <c r="D175" s="1456"/>
      <c r="E175" s="1459"/>
      <c r="F175" s="1174" t="s">
        <v>5664</v>
      </c>
      <c r="G175" s="1174">
        <v>49233406</v>
      </c>
      <c r="H175" s="1148" t="s">
        <v>186</v>
      </c>
      <c r="I175" s="1174">
        <v>0.888073</v>
      </c>
      <c r="J175" s="1174">
        <v>-10814</v>
      </c>
      <c r="K175" s="1174" t="s">
        <v>5663</v>
      </c>
      <c r="L175" s="1174" t="s">
        <v>5662</v>
      </c>
      <c r="M175" s="1176">
        <f>835+601</f>
        <v>1436</v>
      </c>
      <c r="N175" s="1174" t="s">
        <v>17</v>
      </c>
      <c r="O175" s="1174">
        <v>0.45</v>
      </c>
      <c r="P175" s="1174" t="s">
        <v>3172</v>
      </c>
      <c r="Q175" s="1175">
        <v>4.0000000000000002E-32</v>
      </c>
      <c r="R175" s="1174">
        <v>0.42</v>
      </c>
      <c r="S175" s="1174" t="s">
        <v>7</v>
      </c>
      <c r="T175" s="1173">
        <v>24586186</v>
      </c>
    </row>
    <row r="176" spans="1:20" x14ac:dyDescent="0.25">
      <c r="A176" s="1452"/>
      <c r="B176" s="1443"/>
      <c r="C176" s="1443"/>
      <c r="D176" s="1456"/>
      <c r="E176" s="1459"/>
      <c r="F176" s="1174" t="s">
        <v>5661</v>
      </c>
      <c r="G176" s="1174">
        <v>49241014</v>
      </c>
      <c r="H176" s="1148" t="s">
        <v>186</v>
      </c>
      <c r="I176" s="1174">
        <v>0.264652</v>
      </c>
      <c r="J176" s="1174">
        <v>-3206</v>
      </c>
      <c r="K176" s="1174" t="s">
        <v>5660</v>
      </c>
      <c r="L176" s="1174" t="s">
        <v>289</v>
      </c>
      <c r="M176" s="1176">
        <f>2079+4212+11899</f>
        <v>18190</v>
      </c>
      <c r="N176" s="1174" t="s">
        <v>5639</v>
      </c>
      <c r="O176" s="1174" t="s">
        <v>5639</v>
      </c>
      <c r="P176" s="1174" t="s">
        <v>3172</v>
      </c>
      <c r="Q176" s="1175">
        <v>4.0000000000000002E-22</v>
      </c>
      <c r="R176" s="1174" t="s">
        <v>5639</v>
      </c>
      <c r="S176" s="1182" t="s">
        <v>35</v>
      </c>
      <c r="T176" s="1173">
        <v>25574825</v>
      </c>
    </row>
    <row r="177" spans="1:20" ht="30" x14ac:dyDescent="0.25">
      <c r="A177" s="1452"/>
      <c r="B177" s="1443"/>
      <c r="C177" s="1443"/>
      <c r="D177" s="1456"/>
      <c r="E177" s="1459"/>
      <c r="F177" s="1174" t="s">
        <v>5659</v>
      </c>
      <c r="G177" s="1174">
        <v>49246866</v>
      </c>
      <c r="H177" s="1148" t="s">
        <v>190</v>
      </c>
      <c r="I177" s="1174">
        <v>0.36945099999999997</v>
      </c>
      <c r="J177" s="1174">
        <v>2646</v>
      </c>
      <c r="K177" s="1174" t="s">
        <v>5658</v>
      </c>
      <c r="L177" s="1174" t="s">
        <v>289</v>
      </c>
      <c r="M177" s="1176">
        <f>37537+33533</f>
        <v>71070</v>
      </c>
      <c r="N177" s="1174" t="s">
        <v>16</v>
      </c>
      <c r="O177" s="1174">
        <v>0.48</v>
      </c>
      <c r="P177" s="1174" t="s">
        <v>5657</v>
      </c>
      <c r="Q177" s="1175">
        <v>6.9999999999999997E-7</v>
      </c>
      <c r="R177" s="1174">
        <v>0.22</v>
      </c>
      <c r="S177" s="1182" t="s">
        <v>35</v>
      </c>
      <c r="T177" s="1173">
        <v>23636237</v>
      </c>
    </row>
    <row r="178" spans="1:20" x14ac:dyDescent="0.25">
      <c r="A178" s="1453"/>
      <c r="B178" s="1444"/>
      <c r="C178" s="1444"/>
      <c r="D178" s="1457"/>
      <c r="E178" s="1460"/>
      <c r="F178" s="1170" t="s">
        <v>5656</v>
      </c>
      <c r="G178" s="1170">
        <v>49259529</v>
      </c>
      <c r="H178" s="1145" t="s">
        <v>5655</v>
      </c>
      <c r="I178" s="1170">
        <v>0.30486099999999999</v>
      </c>
      <c r="J178" s="1170">
        <v>15309</v>
      </c>
      <c r="K178" s="1170" t="s">
        <v>5654</v>
      </c>
      <c r="L178" s="1170" t="s">
        <v>289</v>
      </c>
      <c r="M178" s="1172">
        <f>44147</f>
        <v>44147</v>
      </c>
      <c r="N178" s="1170" t="s">
        <v>16</v>
      </c>
      <c r="O178" s="1170">
        <v>0.45</v>
      </c>
      <c r="P178" s="1170" t="s">
        <v>3742</v>
      </c>
      <c r="Q178" s="1171">
        <v>6.9999999999999998E-9</v>
      </c>
      <c r="R178" s="1170">
        <v>4.2200000000000001E-2</v>
      </c>
      <c r="S178" s="1170" t="s">
        <v>7</v>
      </c>
      <c r="T178" s="1169">
        <v>23824729</v>
      </c>
    </row>
    <row r="179" spans="1:20" x14ac:dyDescent="0.25">
      <c r="A179" s="1451">
        <v>20</v>
      </c>
      <c r="B179" s="1454" t="s">
        <v>193</v>
      </c>
      <c r="C179" s="1454">
        <v>33971914</v>
      </c>
      <c r="D179" s="1455" t="s">
        <v>265</v>
      </c>
      <c r="E179" s="1458">
        <v>0.60150000000000003</v>
      </c>
      <c r="F179" s="1178" t="s">
        <v>5651</v>
      </c>
      <c r="G179" s="1178">
        <v>33799280</v>
      </c>
      <c r="H179" s="1181" t="s">
        <v>2486</v>
      </c>
      <c r="I179" s="1178">
        <v>0.29919099999999998</v>
      </c>
      <c r="J179" s="1178">
        <v>-172634</v>
      </c>
      <c r="K179" s="1178" t="s">
        <v>5653</v>
      </c>
      <c r="L179" s="1178" t="s">
        <v>5652</v>
      </c>
      <c r="M179" s="1180">
        <f>6968+20464+10679+26715+397+342+1239+990+1134+3719</f>
        <v>72647</v>
      </c>
      <c r="N179" s="1178" t="s">
        <v>17</v>
      </c>
      <c r="O179" s="1178">
        <v>0.44669999999999999</v>
      </c>
      <c r="P179" s="1178" t="s">
        <v>3172</v>
      </c>
      <c r="Q179" s="1179">
        <v>9.9999999999999995E-7</v>
      </c>
      <c r="R179" s="1178">
        <v>1.0630413999999999</v>
      </c>
      <c r="S179" s="1178" t="s">
        <v>7</v>
      </c>
      <c r="T179" s="1177">
        <v>26192919</v>
      </c>
    </row>
    <row r="180" spans="1:20" x14ac:dyDescent="0.25">
      <c r="A180" s="1452"/>
      <c r="B180" s="1443"/>
      <c r="C180" s="1443"/>
      <c r="D180" s="1456"/>
      <c r="E180" s="1459"/>
      <c r="F180" s="1174" t="s">
        <v>5651</v>
      </c>
      <c r="G180" s="1174">
        <v>33799280</v>
      </c>
      <c r="H180" s="1148" t="s">
        <v>2486</v>
      </c>
      <c r="I180" s="1174">
        <v>0.29919099999999998</v>
      </c>
      <c r="J180" s="1174">
        <v>-172634</v>
      </c>
      <c r="K180" s="1174" t="s">
        <v>5650</v>
      </c>
      <c r="L180" s="1174" t="s">
        <v>289</v>
      </c>
      <c r="M180" s="1176">
        <f>12924+21442+25683+17015</f>
        <v>77064</v>
      </c>
      <c r="N180" s="1174" t="s">
        <v>24</v>
      </c>
      <c r="O180" s="1174">
        <v>0.437</v>
      </c>
      <c r="P180" s="1174" t="s">
        <v>3172</v>
      </c>
      <c r="Q180" s="1175">
        <v>2E-8</v>
      </c>
      <c r="R180" s="1174">
        <v>1.079</v>
      </c>
      <c r="S180" s="1174" t="s">
        <v>7</v>
      </c>
      <c r="T180" s="1173">
        <v>23128233</v>
      </c>
    </row>
    <row r="181" spans="1:20" x14ac:dyDescent="0.25">
      <c r="A181" s="1452"/>
      <c r="B181" s="1443"/>
      <c r="C181" s="1443"/>
      <c r="D181" s="1456"/>
      <c r="E181" s="1459"/>
      <c r="F181" s="1174" t="s">
        <v>5646</v>
      </c>
      <c r="G181" s="1174">
        <v>33907161</v>
      </c>
      <c r="H181" s="1148" t="s">
        <v>265</v>
      </c>
      <c r="I181" s="1174">
        <v>0.83577900000000005</v>
      </c>
      <c r="J181" s="1174">
        <v>-64753</v>
      </c>
      <c r="K181" s="1174" t="s">
        <v>1991</v>
      </c>
      <c r="L181" s="1174" t="s">
        <v>5649</v>
      </c>
      <c r="M181" s="1176">
        <f>1084+1287+4298+23684+3860</f>
        <v>34213</v>
      </c>
      <c r="N181" s="1174" t="s">
        <v>17</v>
      </c>
      <c r="O181" s="1174">
        <v>0.44</v>
      </c>
      <c r="P181" s="1174" t="s">
        <v>3172</v>
      </c>
      <c r="Q181" s="1175">
        <v>2E-16</v>
      </c>
      <c r="R181" s="1174">
        <v>0.44</v>
      </c>
      <c r="S181" s="1174" t="s">
        <v>7</v>
      </c>
      <c r="T181" s="1173">
        <v>18193045</v>
      </c>
    </row>
    <row r="182" spans="1:20" x14ac:dyDescent="0.25">
      <c r="A182" s="1452"/>
      <c r="B182" s="1443"/>
      <c r="C182" s="1443"/>
      <c r="D182" s="1456"/>
      <c r="E182" s="1459"/>
      <c r="F182" s="1174" t="s">
        <v>5646</v>
      </c>
      <c r="G182" s="1174">
        <v>33907161</v>
      </c>
      <c r="H182" s="1148" t="s">
        <v>265</v>
      </c>
      <c r="I182" s="1174">
        <v>0.83577900000000005</v>
      </c>
      <c r="J182" s="1174">
        <v>-64753</v>
      </c>
      <c r="K182" s="1174" t="s">
        <v>1991</v>
      </c>
      <c r="L182" s="1174" t="s">
        <v>614</v>
      </c>
      <c r="M182" s="1176">
        <f>36227+57699</f>
        <v>93926</v>
      </c>
      <c r="N182" s="1174" t="s">
        <v>23</v>
      </c>
      <c r="O182" s="1174">
        <v>0.7</v>
      </c>
      <c r="P182" s="1174" t="s">
        <v>3172</v>
      </c>
      <c r="Q182" s="1175">
        <v>8.0000000000000004E-32</v>
      </c>
      <c r="R182" s="1174">
        <v>-6.4000000000000001E-2</v>
      </c>
      <c r="S182" s="1174" t="s">
        <v>7</v>
      </c>
      <c r="T182" s="1173">
        <v>25429064</v>
      </c>
    </row>
    <row r="183" spans="1:20" x14ac:dyDescent="0.25">
      <c r="A183" s="1452"/>
      <c r="B183" s="1443"/>
      <c r="C183" s="1443"/>
      <c r="D183" s="1456"/>
      <c r="E183" s="1459"/>
      <c r="F183" s="1174" t="s">
        <v>5645</v>
      </c>
      <c r="G183" s="1174">
        <v>33909784</v>
      </c>
      <c r="H183" s="1148" t="s">
        <v>265</v>
      </c>
      <c r="I183" s="1174">
        <v>0.24304300000000001</v>
      </c>
      <c r="J183" s="1174">
        <v>-62130</v>
      </c>
      <c r="K183" s="1174" t="s">
        <v>1991</v>
      </c>
      <c r="L183" s="1174" t="s">
        <v>289</v>
      </c>
      <c r="M183" s="1176">
        <f>30968+8541</f>
        <v>39509</v>
      </c>
      <c r="N183" s="1174" t="s">
        <v>23</v>
      </c>
      <c r="O183" s="1174">
        <v>0.26</v>
      </c>
      <c r="P183" s="1174" t="s">
        <v>3172</v>
      </c>
      <c r="Q183" s="1175">
        <v>7.9999999999999996E-7</v>
      </c>
      <c r="R183" s="1174">
        <v>4.7</v>
      </c>
      <c r="S183" s="1174" t="s">
        <v>7</v>
      </c>
      <c r="T183" s="1173">
        <v>18391951</v>
      </c>
    </row>
    <row r="184" spans="1:20" x14ac:dyDescent="0.25">
      <c r="A184" s="1452"/>
      <c r="B184" s="1443"/>
      <c r="C184" s="1443"/>
      <c r="D184" s="1456"/>
      <c r="E184" s="1459"/>
      <c r="F184" s="1174" t="s">
        <v>5643</v>
      </c>
      <c r="G184" s="1174">
        <v>33914208</v>
      </c>
      <c r="H184" s="1148" t="s">
        <v>265</v>
      </c>
      <c r="I184" s="1174">
        <v>0.84471399999999996</v>
      </c>
      <c r="J184" s="1174">
        <v>-57706</v>
      </c>
      <c r="K184" s="1174" t="s">
        <v>1991</v>
      </c>
      <c r="L184" s="1174" t="s">
        <v>289</v>
      </c>
      <c r="M184" s="1176">
        <f>13665+16482</f>
        <v>30147</v>
      </c>
      <c r="N184" s="1174" t="s">
        <v>16</v>
      </c>
      <c r="O184" s="1174">
        <v>0.62</v>
      </c>
      <c r="P184" s="1174" t="s">
        <v>3172</v>
      </c>
      <c r="Q184" s="1175">
        <v>2.0000000000000001E-17</v>
      </c>
      <c r="R184" s="1174">
        <v>-0.08</v>
      </c>
      <c r="S184" s="1174" t="s">
        <v>7</v>
      </c>
      <c r="T184" s="1173">
        <v>18391952</v>
      </c>
    </row>
    <row r="185" spans="1:20" x14ac:dyDescent="0.25">
      <c r="A185" s="1452"/>
      <c r="B185" s="1443"/>
      <c r="C185" s="1443"/>
      <c r="D185" s="1456"/>
      <c r="E185" s="1459"/>
      <c r="F185" s="1174" t="s">
        <v>5640</v>
      </c>
      <c r="G185" s="1174">
        <v>33975181</v>
      </c>
      <c r="H185" s="1148" t="s">
        <v>265</v>
      </c>
      <c r="I185" s="1174">
        <v>0.99931000000000003</v>
      </c>
      <c r="J185" s="1174">
        <v>3267</v>
      </c>
      <c r="K185" s="1174" t="s">
        <v>1991</v>
      </c>
      <c r="L185" s="1174" t="s">
        <v>289</v>
      </c>
      <c r="M185" s="1176">
        <f>12611+7187</f>
        <v>19798</v>
      </c>
      <c r="N185" s="1174" t="s">
        <v>5639</v>
      </c>
      <c r="O185" s="1174">
        <v>0.11</v>
      </c>
      <c r="P185" s="1174" t="s">
        <v>3172</v>
      </c>
      <c r="Q185" s="1175">
        <v>1E-13</v>
      </c>
      <c r="R185" s="1174">
        <v>-0.09</v>
      </c>
      <c r="S185" s="1174" t="s">
        <v>1065</v>
      </c>
      <c r="T185" s="1173">
        <v>19343178</v>
      </c>
    </row>
    <row r="186" spans="1:20" x14ac:dyDescent="0.25">
      <c r="A186" s="1452"/>
      <c r="B186" s="1443"/>
      <c r="C186" s="1443"/>
      <c r="D186" s="1456"/>
      <c r="E186" s="1459"/>
      <c r="F186" s="1174" t="s">
        <v>5638</v>
      </c>
      <c r="G186" s="1174">
        <v>34019579</v>
      </c>
      <c r="H186" s="1148" t="s">
        <v>5637</v>
      </c>
      <c r="I186" s="1174">
        <v>0.83363299999999996</v>
      </c>
      <c r="J186" s="1174">
        <v>47665</v>
      </c>
      <c r="K186" s="1174" t="s">
        <v>1991</v>
      </c>
      <c r="L186" s="1174" t="s">
        <v>614</v>
      </c>
      <c r="M186" s="1176">
        <f>36227+57699</f>
        <v>93926</v>
      </c>
      <c r="N186" s="1174" t="s">
        <v>23</v>
      </c>
      <c r="O186" s="1174">
        <v>0.3</v>
      </c>
      <c r="P186" s="1174" t="s">
        <v>3453</v>
      </c>
      <c r="Q186" s="1175">
        <v>2.0000000000000002E-30</v>
      </c>
      <c r="R186" s="1174">
        <v>6.4000000000000001E-2</v>
      </c>
      <c r="S186" s="1174" t="s">
        <v>7</v>
      </c>
      <c r="T186" s="1173">
        <v>25429064</v>
      </c>
    </row>
    <row r="187" spans="1:20" x14ac:dyDescent="0.25">
      <c r="A187" s="1452"/>
      <c r="B187" s="1443"/>
      <c r="C187" s="1443"/>
      <c r="D187" s="1456"/>
      <c r="E187" s="1459"/>
      <c r="F187" s="1174" t="s">
        <v>5636</v>
      </c>
      <c r="G187" s="1174">
        <v>34025756</v>
      </c>
      <c r="H187" s="1148" t="s">
        <v>959</v>
      </c>
      <c r="I187" s="1174">
        <v>0.67861499999999997</v>
      </c>
      <c r="J187" s="1174">
        <v>53842</v>
      </c>
      <c r="K187" s="1174" t="s">
        <v>1991</v>
      </c>
      <c r="L187" s="1174" t="s">
        <v>289</v>
      </c>
      <c r="M187" s="1176">
        <f>253288+80067</f>
        <v>333355</v>
      </c>
      <c r="N187" s="1174" t="s">
        <v>16</v>
      </c>
      <c r="O187" s="1174">
        <v>0.57599999999999996</v>
      </c>
      <c r="P187" s="1174" t="s">
        <v>4226</v>
      </c>
      <c r="Q187" s="1175">
        <v>9.9999999999999998E-122</v>
      </c>
      <c r="R187" s="1174">
        <v>-7.4999999999999997E-2</v>
      </c>
      <c r="S187" s="1174" t="s">
        <v>7</v>
      </c>
      <c r="T187" s="1173">
        <v>25282103</v>
      </c>
    </row>
    <row r="188" spans="1:20" x14ac:dyDescent="0.25">
      <c r="A188" s="1452"/>
      <c r="B188" s="1443"/>
      <c r="C188" s="1443"/>
      <c r="D188" s="1456"/>
      <c r="E188" s="1459"/>
      <c r="F188" s="1174" t="s">
        <v>5636</v>
      </c>
      <c r="G188" s="1174">
        <v>34025756</v>
      </c>
      <c r="H188" s="1148" t="s">
        <v>959</v>
      </c>
      <c r="I188" s="1174">
        <v>0.67861499999999997</v>
      </c>
      <c r="J188" s="1174">
        <v>53842</v>
      </c>
      <c r="K188" s="1174" t="s">
        <v>1991</v>
      </c>
      <c r="L188" s="1174" t="s">
        <v>289</v>
      </c>
      <c r="M188" s="1176">
        <f>133653+50074</f>
        <v>183727</v>
      </c>
      <c r="N188" s="1174" t="s">
        <v>16</v>
      </c>
      <c r="O188" s="1174">
        <v>0.57999999999999996</v>
      </c>
      <c r="P188" s="1174" t="s">
        <v>4226</v>
      </c>
      <c r="Q188" s="1175">
        <v>1E-58</v>
      </c>
      <c r="R188" s="1174">
        <v>-6.3E-2</v>
      </c>
      <c r="S188" s="1174" t="s">
        <v>7</v>
      </c>
      <c r="T188" s="1173">
        <v>20881960</v>
      </c>
    </row>
    <row r="189" spans="1:20" x14ac:dyDescent="0.25">
      <c r="A189" s="1452"/>
      <c r="B189" s="1443"/>
      <c r="C189" s="1443"/>
      <c r="D189" s="1456"/>
      <c r="E189" s="1459"/>
      <c r="F189" s="1174" t="s">
        <v>5634</v>
      </c>
      <c r="G189" s="1174">
        <v>34097353</v>
      </c>
      <c r="H189" s="1148" t="s">
        <v>2683</v>
      </c>
      <c r="I189" s="1174">
        <v>0.57669000000000004</v>
      </c>
      <c r="J189" s="1174">
        <v>125439</v>
      </c>
      <c r="K189" s="1174" t="s">
        <v>1991</v>
      </c>
      <c r="L189" s="1174" t="s">
        <v>614</v>
      </c>
      <c r="M189" s="1176">
        <f>19633</f>
        <v>19633</v>
      </c>
      <c r="N189" s="1174" t="s">
        <v>17</v>
      </c>
      <c r="O189" s="1174">
        <v>0.22</v>
      </c>
      <c r="P189" s="1174" t="s">
        <v>3172</v>
      </c>
      <c r="Q189" s="1175">
        <v>1.9999999999999999E-6</v>
      </c>
      <c r="R189" s="1174">
        <v>0.06</v>
      </c>
      <c r="S189" s="1174" t="s">
        <v>7</v>
      </c>
      <c r="T189" s="1173">
        <v>20189936</v>
      </c>
    </row>
    <row r="190" spans="1:20" x14ac:dyDescent="0.25">
      <c r="A190" s="1453"/>
      <c r="B190" s="1444"/>
      <c r="C190" s="1444"/>
      <c r="D190" s="1457"/>
      <c r="E190" s="1460"/>
      <c r="F190" s="1170" t="s">
        <v>5648</v>
      </c>
      <c r="G190" s="1170">
        <v>34432670</v>
      </c>
      <c r="H190" s="1145" t="s">
        <v>5647</v>
      </c>
      <c r="I190" s="1170">
        <v>0.231096</v>
      </c>
      <c r="J190" s="1170">
        <v>460756</v>
      </c>
      <c r="K190" s="1170" t="s">
        <v>1991</v>
      </c>
      <c r="L190" s="1170" t="s">
        <v>289</v>
      </c>
      <c r="M190" s="1172">
        <f>253288+80067</f>
        <v>333355</v>
      </c>
      <c r="N190" s="1170" t="s">
        <v>16</v>
      </c>
      <c r="O190" s="1170">
        <v>0.82</v>
      </c>
      <c r="P190" s="1170" t="s">
        <v>3172</v>
      </c>
      <c r="Q190" s="1171">
        <v>3E-52</v>
      </c>
      <c r="R190" s="1170">
        <v>-5.8000000000000003E-2</v>
      </c>
      <c r="S190" s="1170" t="s">
        <v>7</v>
      </c>
      <c r="T190" s="1169">
        <v>25282103</v>
      </c>
    </row>
    <row r="191" spans="1:20" x14ac:dyDescent="0.25">
      <c r="A191" s="1451">
        <v>20</v>
      </c>
      <c r="B191" s="1454" t="s">
        <v>197</v>
      </c>
      <c r="C191" s="1454">
        <v>34022387</v>
      </c>
      <c r="D191" s="1455" t="s">
        <v>959</v>
      </c>
      <c r="E191" s="1458">
        <v>0.64359999999999995</v>
      </c>
      <c r="F191" s="1178" t="s">
        <v>5646</v>
      </c>
      <c r="G191" s="1178">
        <v>33907161</v>
      </c>
      <c r="H191" s="1181" t="s">
        <v>265</v>
      </c>
      <c r="I191" s="1178">
        <v>0.57341600000000004</v>
      </c>
      <c r="J191" s="1178">
        <v>-115226</v>
      </c>
      <c r="K191" s="1178" t="s">
        <v>1991</v>
      </c>
      <c r="L191" s="1178" t="s">
        <v>289</v>
      </c>
      <c r="M191" s="1180">
        <f>15821+17801</f>
        <v>33622</v>
      </c>
      <c r="N191" s="1178" t="s">
        <v>17</v>
      </c>
      <c r="O191" s="1178">
        <v>0.36</v>
      </c>
      <c r="P191" s="1178" t="s">
        <v>3172</v>
      </c>
      <c r="Q191" s="1179">
        <v>9.9999999999999998E-17</v>
      </c>
      <c r="R191" s="1178">
        <v>0.44</v>
      </c>
      <c r="S191" s="1178" t="s">
        <v>7</v>
      </c>
      <c r="T191" s="1177">
        <v>18391950</v>
      </c>
    </row>
    <row r="192" spans="1:20" x14ac:dyDescent="0.25">
      <c r="A192" s="1452"/>
      <c r="B192" s="1443"/>
      <c r="C192" s="1443"/>
      <c r="D192" s="1456"/>
      <c r="E192" s="1459"/>
      <c r="F192" s="1174" t="s">
        <v>5645</v>
      </c>
      <c r="G192" s="1174">
        <v>33909784</v>
      </c>
      <c r="H192" s="1148" t="s">
        <v>265</v>
      </c>
      <c r="I192" s="1174">
        <v>0.341082</v>
      </c>
      <c r="J192" s="1174">
        <v>-112603</v>
      </c>
      <c r="K192" s="1174" t="s">
        <v>1991</v>
      </c>
      <c r="L192" s="1174" t="s">
        <v>289</v>
      </c>
      <c r="M192" s="1176">
        <f>30968+8541</f>
        <v>39509</v>
      </c>
      <c r="N192" s="1174" t="s">
        <v>23</v>
      </c>
      <c r="O192" s="1174">
        <v>0.26</v>
      </c>
      <c r="P192" s="1174" t="s">
        <v>3172</v>
      </c>
      <c r="Q192" s="1175">
        <v>7.9999999999999996E-7</v>
      </c>
      <c r="R192" s="1174">
        <v>4.7</v>
      </c>
      <c r="S192" s="1174" t="s">
        <v>7</v>
      </c>
      <c r="T192" s="1173">
        <v>18391951</v>
      </c>
    </row>
    <row r="193" spans="1:20" x14ac:dyDescent="0.25">
      <c r="A193" s="1452"/>
      <c r="B193" s="1443"/>
      <c r="C193" s="1443"/>
      <c r="D193" s="1456"/>
      <c r="E193" s="1459"/>
      <c r="F193" s="1174" t="s">
        <v>5643</v>
      </c>
      <c r="G193" s="1174">
        <v>33914208</v>
      </c>
      <c r="H193" s="1148" t="s">
        <v>265</v>
      </c>
      <c r="I193" s="1174">
        <v>0.58365999999999996</v>
      </c>
      <c r="J193" s="1174">
        <v>-108179</v>
      </c>
      <c r="K193" s="1174" t="s">
        <v>5644</v>
      </c>
      <c r="L193" s="1174" t="s">
        <v>614</v>
      </c>
      <c r="M193" s="1176">
        <f>386+558+755+944</f>
        <v>2643</v>
      </c>
      <c r="N193" s="1174" t="s">
        <v>16</v>
      </c>
      <c r="O193" s="1174">
        <v>0.72</v>
      </c>
      <c r="P193" s="1174" t="s">
        <v>3172</v>
      </c>
      <c r="Q193" s="1175">
        <v>3.9999999999999998E-6</v>
      </c>
      <c r="R193" s="1174">
        <v>1.35</v>
      </c>
      <c r="S193" s="1174" t="s">
        <v>1065</v>
      </c>
      <c r="T193" s="1173">
        <v>25848760</v>
      </c>
    </row>
    <row r="194" spans="1:20" x14ac:dyDescent="0.25">
      <c r="A194" s="1452"/>
      <c r="B194" s="1443"/>
      <c r="C194" s="1443"/>
      <c r="D194" s="1456"/>
      <c r="E194" s="1459"/>
      <c r="F194" s="1174" t="s">
        <v>5643</v>
      </c>
      <c r="G194" s="1174">
        <v>33914208</v>
      </c>
      <c r="H194" s="1148" t="s">
        <v>265</v>
      </c>
      <c r="I194" s="1174">
        <v>0.58365999999999996</v>
      </c>
      <c r="J194" s="1174">
        <v>-108179</v>
      </c>
      <c r="K194" s="1174" t="s">
        <v>5642</v>
      </c>
      <c r="L194" s="1174" t="s">
        <v>5641</v>
      </c>
      <c r="M194" s="1176">
        <f>2286+2503+1627</f>
        <v>6416</v>
      </c>
      <c r="N194" s="1174" t="s">
        <v>17</v>
      </c>
      <c r="O194" s="1174">
        <v>0.39</v>
      </c>
      <c r="P194" s="1174" t="s">
        <v>3172</v>
      </c>
      <c r="Q194" s="1175">
        <v>1.9999999999999999E-7</v>
      </c>
      <c r="R194" s="1174">
        <v>0.79</v>
      </c>
      <c r="S194" s="1174" t="s">
        <v>7</v>
      </c>
      <c r="T194" s="1173">
        <v>23207799</v>
      </c>
    </row>
    <row r="195" spans="1:20" x14ac:dyDescent="0.25">
      <c r="A195" s="1452"/>
      <c r="B195" s="1443"/>
      <c r="C195" s="1443"/>
      <c r="D195" s="1456"/>
      <c r="E195" s="1459"/>
      <c r="F195" s="1174" t="s">
        <v>5640</v>
      </c>
      <c r="G195" s="1174">
        <v>33975181</v>
      </c>
      <c r="H195" s="1148" t="s">
        <v>265</v>
      </c>
      <c r="I195" s="1174">
        <v>0.58035400000000004</v>
      </c>
      <c r="J195" s="1174">
        <v>-47206</v>
      </c>
      <c r="K195" s="1174" t="s">
        <v>1991</v>
      </c>
      <c r="L195" s="1174" t="s">
        <v>289</v>
      </c>
      <c r="M195" s="1176">
        <f>12611+7187</f>
        <v>19798</v>
      </c>
      <c r="N195" s="1174" t="s">
        <v>5639</v>
      </c>
      <c r="O195" s="1174">
        <v>0.11</v>
      </c>
      <c r="P195" s="1174" t="s">
        <v>3172</v>
      </c>
      <c r="Q195" s="1175">
        <v>1E-13</v>
      </c>
      <c r="R195" s="1174">
        <v>-0.09</v>
      </c>
      <c r="S195" s="1174" t="s">
        <v>1065</v>
      </c>
      <c r="T195" s="1173">
        <v>19343178</v>
      </c>
    </row>
    <row r="196" spans="1:20" x14ac:dyDescent="0.25">
      <c r="A196" s="1452"/>
      <c r="B196" s="1443"/>
      <c r="C196" s="1443"/>
      <c r="D196" s="1456"/>
      <c r="E196" s="1459"/>
      <c r="F196" s="1174" t="s">
        <v>5638</v>
      </c>
      <c r="G196" s="1174">
        <v>34019579</v>
      </c>
      <c r="H196" s="1148" t="s">
        <v>5637</v>
      </c>
      <c r="I196" s="1174">
        <v>0.71775</v>
      </c>
      <c r="J196" s="1174">
        <v>-2808</v>
      </c>
      <c r="K196" s="1174" t="s">
        <v>1991</v>
      </c>
      <c r="L196" s="1174" t="s">
        <v>614</v>
      </c>
      <c r="M196" s="1176">
        <f>36227+57699</f>
        <v>93926</v>
      </c>
      <c r="N196" s="1174" t="s">
        <v>23</v>
      </c>
      <c r="O196" s="1174">
        <v>0.3</v>
      </c>
      <c r="P196" s="1174" t="s">
        <v>3453</v>
      </c>
      <c r="Q196" s="1175">
        <v>2.0000000000000002E-30</v>
      </c>
      <c r="R196" s="1174">
        <v>6.4000000000000001E-2</v>
      </c>
      <c r="S196" s="1174" t="s">
        <v>7</v>
      </c>
      <c r="T196" s="1173">
        <v>25429064</v>
      </c>
    </row>
    <row r="197" spans="1:20" x14ac:dyDescent="0.25">
      <c r="A197" s="1452"/>
      <c r="B197" s="1443"/>
      <c r="C197" s="1443"/>
      <c r="D197" s="1456"/>
      <c r="E197" s="1459"/>
      <c r="F197" s="1174" t="s">
        <v>195</v>
      </c>
      <c r="G197" s="1174">
        <v>34023962</v>
      </c>
      <c r="H197" s="1148" t="s">
        <v>959</v>
      </c>
      <c r="I197" s="1174">
        <v>0.47834700000000002</v>
      </c>
      <c r="J197" s="1174">
        <v>1575</v>
      </c>
      <c r="K197" s="1174" t="s">
        <v>1991</v>
      </c>
      <c r="L197" s="1174" t="s">
        <v>289</v>
      </c>
      <c r="M197" s="1176">
        <f>8097+8099+4872+4831</f>
        <v>25899</v>
      </c>
      <c r="N197" s="1174" t="s">
        <v>16</v>
      </c>
      <c r="O197" s="1174">
        <v>0.36</v>
      </c>
      <c r="P197" s="1174" t="s">
        <v>3172</v>
      </c>
      <c r="Q197" s="1175">
        <v>8.0000000000000005E-37</v>
      </c>
      <c r="R197" s="1174">
        <v>1.31</v>
      </c>
      <c r="S197" s="1174" t="s">
        <v>7</v>
      </c>
      <c r="T197" s="1173">
        <v>23563607</v>
      </c>
    </row>
    <row r="198" spans="1:20" x14ac:dyDescent="0.25">
      <c r="A198" s="1452"/>
      <c r="B198" s="1443"/>
      <c r="C198" s="1443"/>
      <c r="D198" s="1456"/>
      <c r="E198" s="1459"/>
      <c r="F198" s="1174" t="s">
        <v>5636</v>
      </c>
      <c r="G198" s="1174">
        <v>34025756</v>
      </c>
      <c r="H198" s="1148" t="s">
        <v>959</v>
      </c>
      <c r="I198" s="1174">
        <v>0.44656899999999999</v>
      </c>
      <c r="J198" s="1174">
        <v>3369</v>
      </c>
      <c r="K198" s="1174" t="s">
        <v>5635</v>
      </c>
      <c r="L198" s="1174" t="s">
        <v>289</v>
      </c>
      <c r="M198" s="1176">
        <f>28238</f>
        <v>28238</v>
      </c>
      <c r="N198" s="1174" t="s">
        <v>24</v>
      </c>
      <c r="O198" s="1174">
        <v>0.44</v>
      </c>
      <c r="P198" s="1174" t="s">
        <v>4226</v>
      </c>
      <c r="Q198" s="1175">
        <v>3E-10</v>
      </c>
      <c r="R198" s="1174">
        <v>5.8000000000000003E-2</v>
      </c>
      <c r="S198" s="1174" t="s">
        <v>7</v>
      </c>
      <c r="T198" s="1173">
        <v>25281659</v>
      </c>
    </row>
    <row r="199" spans="1:20" x14ac:dyDescent="0.25">
      <c r="A199" s="1453"/>
      <c r="B199" s="1444"/>
      <c r="C199" s="1444"/>
      <c r="D199" s="1457"/>
      <c r="E199" s="1460"/>
      <c r="F199" s="1170" t="s">
        <v>5634</v>
      </c>
      <c r="G199" s="1170">
        <v>34097353</v>
      </c>
      <c r="H199" s="1145" t="s">
        <v>2683</v>
      </c>
      <c r="I199" s="1170">
        <v>0.37277399999999999</v>
      </c>
      <c r="J199" s="1170">
        <v>74966</v>
      </c>
      <c r="K199" s="1170" t="s">
        <v>1991</v>
      </c>
      <c r="L199" s="1170" t="s">
        <v>614</v>
      </c>
      <c r="M199" s="1172">
        <f>36227+57699</f>
        <v>93926</v>
      </c>
      <c r="N199" s="1170" t="s">
        <v>23</v>
      </c>
      <c r="O199" s="1170">
        <v>0.7</v>
      </c>
      <c r="P199" s="1170" t="s">
        <v>3172</v>
      </c>
      <c r="Q199" s="1171">
        <v>3E-24</v>
      </c>
      <c r="R199" s="1170">
        <v>-5.2999999999999999E-2</v>
      </c>
      <c r="S199" s="1170" t="s">
        <v>7</v>
      </c>
      <c r="T199" s="1169">
        <v>25429064</v>
      </c>
    </row>
    <row r="200" spans="1:20" x14ac:dyDescent="0.25">
      <c r="A200" s="219" t="s">
        <v>5633</v>
      </c>
    </row>
    <row r="201" spans="1:20" x14ac:dyDescent="0.25">
      <c r="A201" s="188" t="s">
        <v>5632</v>
      </c>
    </row>
    <row r="202" spans="1:20" x14ac:dyDescent="0.25">
      <c r="A202" s="188" t="s">
        <v>5631</v>
      </c>
    </row>
    <row r="203" spans="1:20" x14ac:dyDescent="0.25">
      <c r="A203" s="188" t="s">
        <v>5630</v>
      </c>
    </row>
    <row r="204" spans="1:20" x14ac:dyDescent="0.25">
      <c r="A204" s="188" t="s">
        <v>5629</v>
      </c>
    </row>
    <row r="205" spans="1:20" x14ac:dyDescent="0.25">
      <c r="A205" s="188" t="s">
        <v>5628</v>
      </c>
    </row>
    <row r="206" spans="1:20" x14ac:dyDescent="0.25">
      <c r="A206" s="188" t="s">
        <v>5627</v>
      </c>
    </row>
    <row r="207" spans="1:20" x14ac:dyDescent="0.25">
      <c r="A207" s="1168" t="s">
        <v>5626</v>
      </c>
    </row>
    <row r="208" spans="1:20" x14ac:dyDescent="0.25">
      <c r="A208" s="1168" t="s">
        <v>5625</v>
      </c>
    </row>
    <row r="209" spans="1:1" x14ac:dyDescent="0.25">
      <c r="A209" s="1168" t="s">
        <v>5624</v>
      </c>
    </row>
    <row r="210" spans="1:1" x14ac:dyDescent="0.25">
      <c r="A210" s="1168" t="s">
        <v>5623</v>
      </c>
    </row>
    <row r="211" spans="1:1" x14ac:dyDescent="0.25">
      <c r="A211" s="1168" t="s">
        <v>5622</v>
      </c>
    </row>
  </sheetData>
  <mergeCells count="101">
    <mergeCell ref="A179:A190"/>
    <mergeCell ref="B179:B190"/>
    <mergeCell ref="C179:C190"/>
    <mergeCell ref="D179:D190"/>
    <mergeCell ref="E179:E190"/>
    <mergeCell ref="A191:A199"/>
    <mergeCell ref="B191:B199"/>
    <mergeCell ref="C191:C199"/>
    <mergeCell ref="D191:D199"/>
    <mergeCell ref="E191:E199"/>
    <mergeCell ref="A131:A134"/>
    <mergeCell ref="B131:B134"/>
    <mergeCell ref="C131:C134"/>
    <mergeCell ref="D131:D134"/>
    <mergeCell ref="E131:E134"/>
    <mergeCell ref="A162:A178"/>
    <mergeCell ref="B162:B178"/>
    <mergeCell ref="C162:C178"/>
    <mergeCell ref="D162:D178"/>
    <mergeCell ref="E162:E178"/>
    <mergeCell ref="A135:A136"/>
    <mergeCell ref="B135:B136"/>
    <mergeCell ref="C135:C136"/>
    <mergeCell ref="D135:D136"/>
    <mergeCell ref="E135:E136"/>
    <mergeCell ref="A139:A161"/>
    <mergeCell ref="B139:B161"/>
    <mergeCell ref="C139:C161"/>
    <mergeCell ref="D139:D161"/>
    <mergeCell ref="E139:E161"/>
    <mergeCell ref="A123:A126"/>
    <mergeCell ref="B123:B126"/>
    <mergeCell ref="C123:C126"/>
    <mergeCell ref="D123:D126"/>
    <mergeCell ref="E123:E126"/>
    <mergeCell ref="A127:A130"/>
    <mergeCell ref="B127:B130"/>
    <mergeCell ref="C127:C130"/>
    <mergeCell ref="D127:D130"/>
    <mergeCell ref="E127:E130"/>
    <mergeCell ref="A108:A109"/>
    <mergeCell ref="B108:B109"/>
    <mergeCell ref="C108:C109"/>
    <mergeCell ref="D108:D109"/>
    <mergeCell ref="E108:E109"/>
    <mergeCell ref="A110:A116"/>
    <mergeCell ref="B110:B116"/>
    <mergeCell ref="C110:C116"/>
    <mergeCell ref="D110:D116"/>
    <mergeCell ref="E110:E116"/>
    <mergeCell ref="A84:A103"/>
    <mergeCell ref="B84:B103"/>
    <mergeCell ref="C84:C103"/>
    <mergeCell ref="D84:D103"/>
    <mergeCell ref="E84:E103"/>
    <mergeCell ref="A106:A107"/>
    <mergeCell ref="B106:B107"/>
    <mergeCell ref="C106:C107"/>
    <mergeCell ref="D106:D107"/>
    <mergeCell ref="E106:E107"/>
    <mergeCell ref="A59:A68"/>
    <mergeCell ref="B59:B68"/>
    <mergeCell ref="C59:C68"/>
    <mergeCell ref="D59:D68"/>
    <mergeCell ref="E59:E68"/>
    <mergeCell ref="A69:A83"/>
    <mergeCell ref="B69:B83"/>
    <mergeCell ref="C69:C83"/>
    <mergeCell ref="D69:D83"/>
    <mergeCell ref="E69:E83"/>
    <mergeCell ref="A45:A46"/>
    <mergeCell ref="B45:B46"/>
    <mergeCell ref="C45:C46"/>
    <mergeCell ref="D45:D46"/>
    <mergeCell ref="E45:E46"/>
    <mergeCell ref="A47:A58"/>
    <mergeCell ref="B47:B58"/>
    <mergeCell ref="C47:C58"/>
    <mergeCell ref="D47:D58"/>
    <mergeCell ref="E47:E58"/>
    <mergeCell ref="A15:A28"/>
    <mergeCell ref="B15:B28"/>
    <mergeCell ref="C15:C28"/>
    <mergeCell ref="D15:D28"/>
    <mergeCell ref="E15:E28"/>
    <mergeCell ref="A29:A44"/>
    <mergeCell ref="B29:B44"/>
    <mergeCell ref="C29:C44"/>
    <mergeCell ref="D29:D44"/>
    <mergeCell ref="E29:E44"/>
    <mergeCell ref="A1:T1"/>
    <mergeCell ref="A3:A10"/>
    <mergeCell ref="B3:B10"/>
    <mergeCell ref="C3:C10"/>
    <mergeCell ref="D3:D10"/>
    <mergeCell ref="E3:E10"/>
    <mergeCell ref="A11:A14"/>
    <mergeCell ref="B11:B14"/>
    <mergeCell ref="C11:C14"/>
    <mergeCell ref="D11:D14"/>
    <mergeCell ref="E11:E1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2"/>
  <sheetViews>
    <sheetView zoomScale="75" zoomScaleNormal="75" zoomScalePageLayoutView="75" workbookViewId="0">
      <selection activeCell="D2" sqref="D2"/>
    </sheetView>
  </sheetViews>
  <sheetFormatPr defaultColWidth="10.7109375" defaultRowHeight="41.85" customHeight="1" x14ac:dyDescent="0.25"/>
  <cols>
    <col min="1" max="1" width="10.7109375" style="226"/>
    <col min="2" max="3" width="27.140625" style="226" customWidth="1"/>
    <col min="4" max="4" width="40.28515625" style="226" customWidth="1"/>
    <col min="5" max="5" width="14.7109375" style="226" customWidth="1"/>
    <col min="6" max="6" width="15.28515625" style="226" customWidth="1"/>
    <col min="7" max="7" width="27.7109375" style="226" customWidth="1"/>
    <col min="8" max="8" width="52.85546875" style="226" customWidth="1"/>
    <col min="9" max="9" width="21.85546875" style="226" customWidth="1"/>
    <col min="10" max="10" width="81" style="227" customWidth="1"/>
    <col min="11" max="11" width="44.85546875" style="226" customWidth="1"/>
    <col min="12" max="16384" width="10.7109375" style="228"/>
  </cols>
  <sheetData>
    <row r="1" spans="1:11" ht="41.85" customHeight="1" x14ac:dyDescent="0.25">
      <c r="A1" s="225" t="s">
        <v>5907</v>
      </c>
    </row>
    <row r="2" spans="1:11" ht="41.85" customHeight="1" thickBot="1" x14ac:dyDescent="0.3">
      <c r="A2" s="238" t="s">
        <v>968</v>
      </c>
      <c r="B2" s="238" t="s">
        <v>2064</v>
      </c>
      <c r="C2" s="941" t="s">
        <v>5302</v>
      </c>
      <c r="D2" s="238" t="s">
        <v>2065</v>
      </c>
      <c r="E2" s="238" t="s">
        <v>2066</v>
      </c>
      <c r="F2" s="617" t="s">
        <v>2067</v>
      </c>
      <c r="G2" s="238" t="s">
        <v>2068</v>
      </c>
      <c r="H2" s="238" t="s">
        <v>2069</v>
      </c>
      <c r="I2" s="238" t="s">
        <v>2070</v>
      </c>
      <c r="J2" s="238" t="s">
        <v>281</v>
      </c>
      <c r="K2" s="238" t="s">
        <v>2071</v>
      </c>
    </row>
    <row r="3" spans="1:11" ht="19.5" customHeight="1" thickTop="1" x14ac:dyDescent="0.25">
      <c r="A3" s="234" t="s">
        <v>2072</v>
      </c>
      <c r="B3" s="226" t="s">
        <v>2073</v>
      </c>
      <c r="C3" s="226">
        <v>28</v>
      </c>
      <c r="F3" s="226">
        <v>1</v>
      </c>
      <c r="K3" s="226" t="s">
        <v>2074</v>
      </c>
    </row>
    <row r="4" spans="1:11" ht="56.85" customHeight="1" x14ac:dyDescent="0.25">
      <c r="A4" s="240" t="s">
        <v>2075</v>
      </c>
      <c r="B4" s="232" t="s">
        <v>2076</v>
      </c>
      <c r="C4" s="232">
        <v>11</v>
      </c>
      <c r="D4" s="231" t="s">
        <v>2077</v>
      </c>
      <c r="E4" s="231">
        <v>1</v>
      </c>
      <c r="F4" s="231"/>
      <c r="G4" s="618" t="s">
        <v>2078</v>
      </c>
      <c r="H4" s="227" t="s">
        <v>2079</v>
      </c>
      <c r="I4" s="227" t="s">
        <v>2080</v>
      </c>
      <c r="J4" s="230" t="s">
        <v>2081</v>
      </c>
    </row>
    <row r="5" spans="1:11" ht="107.25" customHeight="1" x14ac:dyDescent="0.25">
      <c r="A5" s="239" t="s">
        <v>2082</v>
      </c>
      <c r="B5" s="232" t="s">
        <v>2083</v>
      </c>
      <c r="C5" s="232">
        <v>8</v>
      </c>
      <c r="D5" s="229" t="s">
        <v>2084</v>
      </c>
      <c r="E5" s="229">
        <v>1</v>
      </c>
      <c r="F5" s="229"/>
      <c r="G5" s="227" t="s">
        <v>2085</v>
      </c>
      <c r="H5" s="227" t="s">
        <v>2086</v>
      </c>
      <c r="I5" s="227" t="s">
        <v>2087</v>
      </c>
      <c r="J5" s="230" t="s">
        <v>2088</v>
      </c>
    </row>
    <row r="6" spans="1:11" ht="25.5" customHeight="1" x14ac:dyDescent="0.25">
      <c r="A6" s="234" t="s">
        <v>2082</v>
      </c>
      <c r="B6" s="226" t="s">
        <v>2089</v>
      </c>
      <c r="C6" s="226">
        <v>8</v>
      </c>
      <c r="D6" s="226" t="s">
        <v>2090</v>
      </c>
      <c r="F6" s="226">
        <v>1</v>
      </c>
      <c r="J6" s="227" t="s">
        <v>2091</v>
      </c>
      <c r="K6" s="226" t="s">
        <v>2092</v>
      </c>
    </row>
    <row r="7" spans="1:11" ht="23.85" customHeight="1" x14ac:dyDescent="0.25">
      <c r="A7" s="234" t="s">
        <v>2093</v>
      </c>
      <c r="B7" s="226" t="s">
        <v>2094</v>
      </c>
      <c r="C7" s="226">
        <v>119</v>
      </c>
      <c r="D7" s="247" t="s">
        <v>2095</v>
      </c>
      <c r="F7" s="226">
        <v>1</v>
      </c>
      <c r="K7" s="226" t="s">
        <v>2096</v>
      </c>
    </row>
    <row r="8" spans="1:11" ht="77.25" customHeight="1" x14ac:dyDescent="0.25">
      <c r="A8" s="239" t="s">
        <v>2097</v>
      </c>
      <c r="B8" s="232" t="s">
        <v>2098</v>
      </c>
      <c r="C8" s="232">
        <v>16</v>
      </c>
      <c r="D8" s="229" t="s">
        <v>2077</v>
      </c>
      <c r="E8" s="229">
        <v>1</v>
      </c>
      <c r="F8" s="229"/>
      <c r="G8" s="227" t="s">
        <v>2099</v>
      </c>
      <c r="H8" s="227" t="s">
        <v>2100</v>
      </c>
      <c r="I8" s="227" t="s">
        <v>2080</v>
      </c>
      <c r="J8" s="230" t="s">
        <v>2101</v>
      </c>
    </row>
    <row r="9" spans="1:11" ht="26.85" customHeight="1" x14ac:dyDescent="0.25">
      <c r="A9" s="234" t="s">
        <v>2097</v>
      </c>
      <c r="B9" s="226" t="s">
        <v>2102</v>
      </c>
      <c r="C9" s="226">
        <v>16</v>
      </c>
      <c r="F9" s="226">
        <v>1</v>
      </c>
      <c r="J9" s="227" t="s">
        <v>2091</v>
      </c>
      <c r="K9" s="226" t="s">
        <v>2092</v>
      </c>
    </row>
    <row r="10" spans="1:11" ht="27.75" customHeight="1" x14ac:dyDescent="0.25">
      <c r="A10" s="234" t="s">
        <v>2103</v>
      </c>
      <c r="B10" s="226" t="s">
        <v>2104</v>
      </c>
      <c r="C10" s="226">
        <v>5</v>
      </c>
      <c r="F10" s="226">
        <v>1</v>
      </c>
      <c r="J10" s="227" t="s">
        <v>2091</v>
      </c>
      <c r="K10" s="226" t="s">
        <v>2092</v>
      </c>
    </row>
    <row r="11" spans="1:11" ht="57" customHeight="1" x14ac:dyDescent="0.25">
      <c r="A11" s="239" t="s">
        <v>2105</v>
      </c>
      <c r="B11" s="232" t="s">
        <v>2106</v>
      </c>
      <c r="C11" s="232">
        <v>11</v>
      </c>
      <c r="D11" s="229" t="s">
        <v>2107</v>
      </c>
      <c r="E11" s="229">
        <v>1</v>
      </c>
      <c r="F11" s="229"/>
      <c r="G11" s="227" t="s">
        <v>2108</v>
      </c>
      <c r="H11" s="227" t="s">
        <v>2109</v>
      </c>
      <c r="I11" s="227" t="s">
        <v>2080</v>
      </c>
    </row>
    <row r="12" spans="1:11" ht="20.25" customHeight="1" x14ac:dyDescent="0.25">
      <c r="A12" s="234" t="s">
        <v>2110</v>
      </c>
      <c r="B12" s="226" t="s">
        <v>2111</v>
      </c>
      <c r="C12" s="226" t="s">
        <v>5303</v>
      </c>
      <c r="D12" s="232" t="s">
        <v>2112</v>
      </c>
      <c r="F12" s="226">
        <v>1</v>
      </c>
      <c r="K12" s="619" t="s">
        <v>2113</v>
      </c>
    </row>
    <row r="13" spans="1:11" ht="20.25" customHeight="1" x14ac:dyDescent="0.25">
      <c r="A13" s="234" t="s">
        <v>2114</v>
      </c>
      <c r="B13" s="226" t="s">
        <v>2115</v>
      </c>
      <c r="C13" s="226">
        <v>9</v>
      </c>
      <c r="D13" s="232" t="s">
        <v>2112</v>
      </c>
      <c r="F13" s="226">
        <v>1</v>
      </c>
      <c r="J13" s="227" t="s">
        <v>2116</v>
      </c>
      <c r="K13" s="226" t="s">
        <v>2117</v>
      </c>
    </row>
    <row r="14" spans="1:11" ht="20.25" customHeight="1" x14ac:dyDescent="0.25">
      <c r="A14" s="234" t="s">
        <v>2118</v>
      </c>
      <c r="B14" s="226" t="s">
        <v>2119</v>
      </c>
      <c r="C14" s="226">
        <v>4</v>
      </c>
      <c r="D14" s="232" t="s">
        <v>2120</v>
      </c>
      <c r="F14" s="226">
        <v>1</v>
      </c>
      <c r="K14" s="226" t="s">
        <v>2121</v>
      </c>
    </row>
    <row r="15" spans="1:11" ht="20.25" customHeight="1" x14ac:dyDescent="0.25">
      <c r="A15" s="234" t="s">
        <v>2122</v>
      </c>
      <c r="B15" s="226" t="s">
        <v>2123</v>
      </c>
      <c r="C15" s="226">
        <v>5</v>
      </c>
      <c r="D15" s="232" t="s">
        <v>2112</v>
      </c>
      <c r="F15" s="226">
        <v>1</v>
      </c>
      <c r="K15" s="226" t="s">
        <v>2124</v>
      </c>
    </row>
    <row r="16" spans="1:11" ht="20.25" customHeight="1" x14ac:dyDescent="0.25">
      <c r="A16" s="234" t="s">
        <v>2125</v>
      </c>
      <c r="B16" s="226" t="s">
        <v>2126</v>
      </c>
      <c r="C16" s="226">
        <v>46</v>
      </c>
      <c r="D16" s="232" t="s">
        <v>2127</v>
      </c>
      <c r="F16" s="226">
        <v>1</v>
      </c>
      <c r="K16" s="226" t="s">
        <v>2121</v>
      </c>
    </row>
    <row r="17" spans="1:14" ht="20.25" customHeight="1" x14ac:dyDescent="0.25">
      <c r="A17" s="234" t="s">
        <v>2128</v>
      </c>
      <c r="B17" s="226" t="s">
        <v>2129</v>
      </c>
      <c r="C17" s="226" t="s">
        <v>5303</v>
      </c>
      <c r="D17" s="232" t="s">
        <v>2127</v>
      </c>
      <c r="F17" s="226">
        <v>1</v>
      </c>
      <c r="K17" s="226" t="s">
        <v>2130</v>
      </c>
    </row>
    <row r="18" spans="1:14" ht="20.25" customHeight="1" x14ac:dyDescent="0.25">
      <c r="A18" s="234" t="s">
        <v>2131</v>
      </c>
      <c r="B18" s="226" t="s">
        <v>2132</v>
      </c>
      <c r="C18" s="226">
        <v>10</v>
      </c>
      <c r="D18" s="232" t="s">
        <v>2133</v>
      </c>
      <c r="F18" s="226">
        <v>1</v>
      </c>
      <c r="K18" s="226" t="s">
        <v>2134</v>
      </c>
    </row>
    <row r="19" spans="1:14" ht="20.25" customHeight="1" x14ac:dyDescent="0.25">
      <c r="A19" s="234" t="s">
        <v>2135</v>
      </c>
      <c r="B19" s="226" t="s">
        <v>2136</v>
      </c>
      <c r="C19" s="226">
        <v>9</v>
      </c>
      <c r="D19" s="232" t="s">
        <v>2137</v>
      </c>
      <c r="F19" s="226">
        <v>1</v>
      </c>
      <c r="K19" s="226" t="s">
        <v>2121</v>
      </c>
    </row>
    <row r="20" spans="1:14" ht="20.25" customHeight="1" x14ac:dyDescent="0.25">
      <c r="A20" s="234" t="s">
        <v>2138</v>
      </c>
      <c r="B20" s="226" t="s">
        <v>2139</v>
      </c>
      <c r="C20" s="226">
        <v>10</v>
      </c>
      <c r="D20" s="232" t="s">
        <v>2140</v>
      </c>
      <c r="F20" s="226">
        <v>1</v>
      </c>
      <c r="K20" s="226" t="s">
        <v>2121</v>
      </c>
    </row>
    <row r="21" spans="1:14" ht="20.25" customHeight="1" x14ac:dyDescent="0.25">
      <c r="A21" s="234" t="s">
        <v>2141</v>
      </c>
      <c r="B21" s="226" t="s">
        <v>2142</v>
      </c>
      <c r="C21" s="226">
        <v>3</v>
      </c>
      <c r="D21" s="232"/>
      <c r="F21" s="226">
        <v>1</v>
      </c>
      <c r="K21" s="226" t="s">
        <v>2143</v>
      </c>
    </row>
    <row r="22" spans="1:14" ht="20.25" customHeight="1" x14ac:dyDescent="0.25">
      <c r="A22" s="234" t="s">
        <v>2144</v>
      </c>
      <c r="B22" s="226" t="s">
        <v>2145</v>
      </c>
      <c r="C22" s="226">
        <v>18</v>
      </c>
      <c r="D22" s="232" t="s">
        <v>2146</v>
      </c>
      <c r="F22" s="226">
        <v>1</v>
      </c>
      <c r="K22" s="226" t="s">
        <v>2147</v>
      </c>
    </row>
    <row r="23" spans="1:14" ht="20.25" customHeight="1" x14ac:dyDescent="0.25">
      <c r="A23" s="234" t="s">
        <v>2148</v>
      </c>
      <c r="B23" s="226" t="s">
        <v>2149</v>
      </c>
      <c r="C23" s="226">
        <v>11</v>
      </c>
      <c r="D23" s="232"/>
      <c r="F23" s="226">
        <v>1</v>
      </c>
      <c r="K23" s="226" t="s">
        <v>2074</v>
      </c>
    </row>
    <row r="24" spans="1:14" ht="169.5" customHeight="1" x14ac:dyDescent="0.25">
      <c r="A24" s="239" t="s">
        <v>2150</v>
      </c>
      <c r="B24" s="232" t="s">
        <v>2151</v>
      </c>
      <c r="C24" s="232">
        <v>13</v>
      </c>
      <c r="D24" s="229" t="s">
        <v>2152</v>
      </c>
      <c r="E24" s="229">
        <v>1</v>
      </c>
      <c r="F24" s="229"/>
      <c r="G24" s="227" t="s">
        <v>2153</v>
      </c>
      <c r="H24" s="227" t="s">
        <v>2154</v>
      </c>
      <c r="I24" s="618" t="s">
        <v>2155</v>
      </c>
      <c r="K24" s="232"/>
      <c r="L24" s="233"/>
      <c r="M24" s="233"/>
      <c r="N24" s="233"/>
    </row>
    <row r="25" spans="1:14" ht="25.5" customHeight="1" x14ac:dyDescent="0.25">
      <c r="A25" s="234" t="s">
        <v>2150</v>
      </c>
      <c r="B25" s="226" t="s">
        <v>2156</v>
      </c>
      <c r="C25" s="226">
        <v>13</v>
      </c>
      <c r="D25" s="232" t="s">
        <v>2112</v>
      </c>
      <c r="F25" s="226">
        <v>1</v>
      </c>
      <c r="J25" s="227" t="s">
        <v>2091</v>
      </c>
      <c r="K25" s="226" t="s">
        <v>2092</v>
      </c>
    </row>
    <row r="26" spans="1:14" ht="25.5" customHeight="1" x14ac:dyDescent="0.25">
      <c r="A26" s="234" t="s">
        <v>2157</v>
      </c>
      <c r="B26" s="226" t="s">
        <v>2158</v>
      </c>
      <c r="C26" s="226" t="s">
        <v>5303</v>
      </c>
      <c r="D26" s="232" t="s">
        <v>2159</v>
      </c>
      <c r="F26" s="226">
        <v>1</v>
      </c>
      <c r="J26" s="227" t="s">
        <v>2160</v>
      </c>
      <c r="K26" s="226" t="s">
        <v>2121</v>
      </c>
    </row>
    <row r="27" spans="1:14" ht="25.5" customHeight="1" x14ac:dyDescent="0.25">
      <c r="A27" s="234" t="s">
        <v>2161</v>
      </c>
      <c r="B27" s="226" t="s">
        <v>2162</v>
      </c>
      <c r="C27" s="226">
        <v>9</v>
      </c>
      <c r="D27" s="232" t="s">
        <v>2112</v>
      </c>
      <c r="F27" s="226">
        <v>1</v>
      </c>
      <c r="K27" s="226" t="s">
        <v>2121</v>
      </c>
    </row>
    <row r="28" spans="1:14" ht="25.5" customHeight="1" x14ac:dyDescent="0.25">
      <c r="A28" s="234" t="s">
        <v>2163</v>
      </c>
      <c r="B28" s="226" t="s">
        <v>2164</v>
      </c>
      <c r="C28" s="226">
        <v>4</v>
      </c>
      <c r="D28" s="226" t="s">
        <v>2165</v>
      </c>
      <c r="F28" s="226">
        <v>1</v>
      </c>
      <c r="K28" s="226" t="s">
        <v>2121</v>
      </c>
    </row>
    <row r="29" spans="1:14" ht="25.5" customHeight="1" x14ac:dyDescent="0.25">
      <c r="A29" s="234" t="s">
        <v>2166</v>
      </c>
      <c r="B29" s="226" t="s">
        <v>2167</v>
      </c>
      <c r="C29" s="226" t="s">
        <v>5303</v>
      </c>
      <c r="F29" s="226">
        <v>1</v>
      </c>
      <c r="K29" s="226" t="s">
        <v>2121</v>
      </c>
    </row>
    <row r="30" spans="1:14" ht="25.5" customHeight="1" x14ac:dyDescent="0.25">
      <c r="A30" s="234" t="s">
        <v>2168</v>
      </c>
      <c r="B30" s="226" t="s">
        <v>2169</v>
      </c>
      <c r="C30" s="226">
        <v>6</v>
      </c>
      <c r="F30" s="226">
        <v>1</v>
      </c>
      <c r="K30" s="226" t="s">
        <v>2092</v>
      </c>
    </row>
    <row r="31" spans="1:14" ht="25.5" customHeight="1" x14ac:dyDescent="0.25">
      <c r="A31" s="234" t="s">
        <v>2170</v>
      </c>
      <c r="B31" s="226" t="s">
        <v>2171</v>
      </c>
      <c r="C31" s="226">
        <v>8</v>
      </c>
      <c r="F31" s="226">
        <v>1</v>
      </c>
      <c r="J31" s="227" t="s">
        <v>2172</v>
      </c>
      <c r="K31" s="226" t="s">
        <v>2092</v>
      </c>
    </row>
    <row r="32" spans="1:14" ht="25.5" customHeight="1" x14ac:dyDescent="0.25">
      <c r="A32" s="234" t="s">
        <v>2173</v>
      </c>
      <c r="B32" s="226" t="s">
        <v>2174</v>
      </c>
      <c r="C32" s="226">
        <v>19</v>
      </c>
      <c r="F32" s="226">
        <v>1</v>
      </c>
      <c r="J32" s="227" t="s">
        <v>2091</v>
      </c>
      <c r="K32" s="226" t="s">
        <v>2092</v>
      </c>
    </row>
    <row r="33" spans="1:11" ht="53.85" customHeight="1" x14ac:dyDescent="0.25">
      <c r="A33" s="240" t="s">
        <v>2175</v>
      </c>
      <c r="B33" s="232" t="s">
        <v>2176</v>
      </c>
      <c r="C33" s="232">
        <v>19</v>
      </c>
      <c r="D33" s="231" t="s">
        <v>2177</v>
      </c>
      <c r="E33" s="231">
        <v>1</v>
      </c>
      <c r="F33" s="231"/>
      <c r="G33" s="227" t="s">
        <v>2178</v>
      </c>
      <c r="H33" s="618" t="s">
        <v>2179</v>
      </c>
      <c r="I33" s="227" t="s">
        <v>2087</v>
      </c>
    </row>
    <row r="34" spans="1:11" ht="26.85" customHeight="1" x14ac:dyDescent="0.25">
      <c r="A34" s="234" t="s">
        <v>2180</v>
      </c>
      <c r="B34" s="226" t="s">
        <v>2181</v>
      </c>
      <c r="C34" s="226">
        <v>29</v>
      </c>
      <c r="F34" s="226">
        <v>1</v>
      </c>
      <c r="J34" s="227" t="s">
        <v>2182</v>
      </c>
      <c r="K34" s="226" t="s">
        <v>2092</v>
      </c>
    </row>
    <row r="35" spans="1:11" ht="41.85" customHeight="1" x14ac:dyDescent="0.25">
      <c r="A35" s="239" t="s">
        <v>2183</v>
      </c>
      <c r="B35" s="232" t="s">
        <v>2184</v>
      </c>
      <c r="C35" s="232">
        <v>6</v>
      </c>
      <c r="D35" s="229" t="s">
        <v>2185</v>
      </c>
      <c r="E35" s="229">
        <v>1</v>
      </c>
      <c r="F35" s="229">
        <v>1</v>
      </c>
      <c r="G35" s="227" t="s">
        <v>2186</v>
      </c>
      <c r="H35" s="227" t="s">
        <v>2187</v>
      </c>
      <c r="I35" s="227" t="s">
        <v>2087</v>
      </c>
    </row>
    <row r="36" spans="1:11" ht="21" customHeight="1" x14ac:dyDescent="0.25">
      <c r="A36" s="234" t="s">
        <v>2183</v>
      </c>
      <c r="B36" s="226" t="s">
        <v>2188</v>
      </c>
      <c r="C36" s="226">
        <v>6</v>
      </c>
      <c r="F36" s="226">
        <v>1</v>
      </c>
      <c r="J36" s="227" t="s">
        <v>2091</v>
      </c>
      <c r="K36" s="226" t="s">
        <v>2092</v>
      </c>
    </row>
    <row r="37" spans="1:11" ht="21" customHeight="1" x14ac:dyDescent="0.25">
      <c r="A37" s="234" t="s">
        <v>2189</v>
      </c>
      <c r="B37" s="226" t="s">
        <v>2190</v>
      </c>
      <c r="C37" s="226">
        <v>38</v>
      </c>
      <c r="F37" s="226">
        <v>1</v>
      </c>
      <c r="J37" s="227" t="s">
        <v>2091</v>
      </c>
      <c r="K37" s="226" t="s">
        <v>2092</v>
      </c>
    </row>
    <row r="38" spans="1:11" ht="21" customHeight="1" x14ac:dyDescent="0.25">
      <c r="A38" s="234" t="s">
        <v>2191</v>
      </c>
      <c r="B38" s="226" t="s">
        <v>2192</v>
      </c>
      <c r="C38" s="226">
        <v>7</v>
      </c>
      <c r="D38" s="226" t="s">
        <v>2112</v>
      </c>
      <c r="F38" s="226">
        <v>1</v>
      </c>
      <c r="J38" s="227" t="s">
        <v>2193</v>
      </c>
      <c r="K38" s="226" t="s">
        <v>2194</v>
      </c>
    </row>
    <row r="39" spans="1:11" ht="21" customHeight="1" x14ac:dyDescent="0.25">
      <c r="A39" s="234" t="s">
        <v>2195</v>
      </c>
      <c r="B39" s="226" t="s">
        <v>2196</v>
      </c>
      <c r="C39" s="226">
        <v>6</v>
      </c>
      <c r="F39" s="226">
        <v>1</v>
      </c>
      <c r="K39" s="226" t="s">
        <v>2121</v>
      </c>
    </row>
    <row r="40" spans="1:11" ht="70.349999999999994" customHeight="1" x14ac:dyDescent="0.25">
      <c r="A40" s="239" t="s">
        <v>2197</v>
      </c>
      <c r="B40" s="232" t="s">
        <v>2198</v>
      </c>
      <c r="C40" s="232">
        <v>15</v>
      </c>
      <c r="D40" s="229" t="s">
        <v>2199</v>
      </c>
      <c r="E40" s="229">
        <v>1</v>
      </c>
      <c r="F40" s="229"/>
      <c r="G40" s="227" t="s">
        <v>2200</v>
      </c>
      <c r="H40" s="618" t="s">
        <v>2201</v>
      </c>
      <c r="I40" s="227" t="s">
        <v>2080</v>
      </c>
    </row>
    <row r="41" spans="1:11" ht="22.5" customHeight="1" x14ac:dyDescent="0.25">
      <c r="A41" s="234" t="s">
        <v>2197</v>
      </c>
      <c r="B41" s="226" t="s">
        <v>2202</v>
      </c>
      <c r="C41" s="226">
        <v>15</v>
      </c>
      <c r="D41" s="226" t="s">
        <v>2112</v>
      </c>
      <c r="F41" s="226">
        <v>1</v>
      </c>
      <c r="J41" s="227" t="s">
        <v>2091</v>
      </c>
      <c r="K41" s="226" t="s">
        <v>2092</v>
      </c>
    </row>
    <row r="42" spans="1:11" ht="22.5" customHeight="1" x14ac:dyDescent="0.25">
      <c r="A42" s="234" t="s">
        <v>2203</v>
      </c>
      <c r="B42" s="226" t="s">
        <v>2204</v>
      </c>
      <c r="C42" s="226">
        <v>19</v>
      </c>
      <c r="D42" s="226" t="s">
        <v>2127</v>
      </c>
      <c r="F42" s="226">
        <v>1</v>
      </c>
      <c r="K42" s="226" t="s">
        <v>2121</v>
      </c>
    </row>
    <row r="43" spans="1:11" ht="22.5" customHeight="1" x14ac:dyDescent="0.25">
      <c r="A43" s="234" t="s">
        <v>2205</v>
      </c>
      <c r="B43" s="226" t="s">
        <v>2206</v>
      </c>
      <c r="C43" s="226">
        <v>10</v>
      </c>
      <c r="D43" s="226" t="s">
        <v>2112</v>
      </c>
      <c r="F43" s="226">
        <v>1</v>
      </c>
      <c r="K43" s="226" t="s">
        <v>2207</v>
      </c>
    </row>
    <row r="44" spans="1:11" ht="22.5" customHeight="1" x14ac:dyDescent="0.25">
      <c r="A44" s="234" t="s">
        <v>2208</v>
      </c>
      <c r="B44" s="226" t="s">
        <v>2209</v>
      </c>
      <c r="C44" s="226">
        <v>13</v>
      </c>
      <c r="D44" s="226" t="s">
        <v>2127</v>
      </c>
      <c r="F44" s="226">
        <v>1</v>
      </c>
      <c r="K44" s="226" t="s">
        <v>2210</v>
      </c>
    </row>
    <row r="45" spans="1:11" ht="22.5" customHeight="1" x14ac:dyDescent="0.25">
      <c r="A45" s="234" t="s">
        <v>2211</v>
      </c>
      <c r="B45" s="226" t="s">
        <v>2212</v>
      </c>
      <c r="C45" s="226">
        <v>8</v>
      </c>
      <c r="D45" s="226" t="s">
        <v>2112</v>
      </c>
      <c r="F45" s="226">
        <v>1</v>
      </c>
      <c r="K45" s="226" t="s">
        <v>2213</v>
      </c>
    </row>
    <row r="46" spans="1:11" ht="22.5" customHeight="1" x14ac:dyDescent="0.25">
      <c r="A46" s="234" t="s">
        <v>2214</v>
      </c>
      <c r="B46" s="226" t="s">
        <v>2215</v>
      </c>
      <c r="C46" s="226">
        <v>73</v>
      </c>
      <c r="F46" s="226">
        <v>1</v>
      </c>
      <c r="K46" s="619" t="s">
        <v>2113</v>
      </c>
    </row>
    <row r="47" spans="1:11" ht="22.5" customHeight="1" x14ac:dyDescent="0.25">
      <c r="A47" s="235" t="s">
        <v>2216</v>
      </c>
      <c r="B47" s="236" t="s">
        <v>2217</v>
      </c>
      <c r="C47" s="248">
        <v>3</v>
      </c>
      <c r="D47" s="236"/>
      <c r="E47" s="236"/>
      <c r="F47" s="236">
        <v>1</v>
      </c>
      <c r="G47" s="236"/>
      <c r="H47" s="236"/>
      <c r="I47" s="236"/>
      <c r="J47" s="237" t="s">
        <v>2091</v>
      </c>
      <c r="K47" s="236" t="s">
        <v>2092</v>
      </c>
    </row>
    <row r="48" spans="1:11" ht="21" customHeight="1" x14ac:dyDescent="0.25">
      <c r="A48" s="249" t="s">
        <v>2218</v>
      </c>
      <c r="B48" s="248"/>
      <c r="C48" s="248"/>
      <c r="D48" s="248"/>
      <c r="E48" s="248"/>
      <c r="F48" s="248"/>
      <c r="G48" s="248"/>
      <c r="H48" s="248"/>
      <c r="I48" s="248"/>
      <c r="J48" s="230"/>
      <c r="K48" s="248"/>
    </row>
    <row r="49" spans="1:11" s="244" customFormat="1" ht="20.25" customHeight="1" x14ac:dyDescent="0.25">
      <c r="A49" s="188" t="s">
        <v>2219</v>
      </c>
      <c r="B49" s="226"/>
      <c r="C49" s="226"/>
      <c r="D49" s="226"/>
      <c r="E49" s="226"/>
      <c r="F49" s="226"/>
      <c r="G49" s="226"/>
      <c r="H49" s="226"/>
      <c r="I49" s="226"/>
      <c r="J49" s="227"/>
      <c r="K49" s="226"/>
    </row>
    <row r="50" spans="1:11" s="244" customFormat="1" ht="17.850000000000001" customHeight="1" x14ac:dyDescent="0.25">
      <c r="A50" s="245" t="s">
        <v>2220</v>
      </c>
      <c r="B50" s="226"/>
      <c r="C50" s="226"/>
      <c r="D50" s="226"/>
      <c r="E50" s="226"/>
      <c r="F50" s="226"/>
      <c r="G50" s="226"/>
      <c r="H50" s="226"/>
      <c r="I50" s="226"/>
      <c r="J50" s="227"/>
      <c r="K50" s="226"/>
    </row>
    <row r="51" spans="1:11" ht="16.5" customHeight="1" x14ac:dyDescent="0.25">
      <c r="A51" s="246" t="s">
        <v>2221</v>
      </c>
    </row>
    <row r="52" spans="1:11" ht="15" x14ac:dyDescent="0.25">
      <c r="A52" s="246" t="s">
        <v>5304</v>
      </c>
    </row>
  </sheetData>
  <sortState ref="A3:M47">
    <sortCondition ref="A3:A47"/>
  </sortState>
  <phoneticPr fontId="101" type="noConversion"/>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59"/>
  <sheetViews>
    <sheetView topLeftCell="A40" workbookViewId="0">
      <selection activeCell="C52" sqref="C52"/>
    </sheetView>
  </sheetViews>
  <sheetFormatPr defaultColWidth="8.85546875" defaultRowHeight="15" x14ac:dyDescent="0.25"/>
  <cols>
    <col min="1" max="1" width="9.85546875" style="1" customWidth="1"/>
    <col min="2" max="2" width="2.85546875" style="1" customWidth="1"/>
    <col min="3" max="3" width="10.28515625" style="1" customWidth="1"/>
    <col min="4" max="9" width="7.7109375" style="1" bestFit="1" customWidth="1"/>
    <col min="10" max="10" width="13.7109375" style="1" customWidth="1"/>
    <col min="11" max="11" width="10.28515625" style="1" customWidth="1"/>
    <col min="12" max="12" width="8.85546875" style="1" customWidth="1"/>
    <col min="13" max="13" width="2.85546875" style="1" customWidth="1"/>
    <col min="14" max="14" width="9.28515625" style="1" customWidth="1"/>
    <col min="15" max="16" width="7.7109375" style="1" bestFit="1" customWidth="1"/>
    <col min="17" max="17" width="7.85546875" style="1" customWidth="1"/>
    <col min="18" max="18" width="7.7109375" style="1" customWidth="1"/>
    <col min="19" max="20" width="8" style="1" customWidth="1"/>
    <col min="21" max="21" width="13.28515625" style="1" customWidth="1"/>
    <col min="22" max="22" width="10.140625" style="1" customWidth="1"/>
    <col min="23" max="23" width="8.85546875" style="1" customWidth="1"/>
    <col min="24" max="16384" width="8.85546875" style="1"/>
  </cols>
  <sheetData>
    <row r="1" spans="1:23" ht="14.65" customHeight="1" x14ac:dyDescent="0.25">
      <c r="A1" s="371" t="s">
        <v>5613</v>
      </c>
    </row>
    <row r="2" spans="1:23" x14ac:dyDescent="0.25">
      <c r="A2" s="1464" t="s">
        <v>2222</v>
      </c>
      <c r="B2" s="1464"/>
      <c r="C2" s="1464"/>
      <c r="D2" s="1464"/>
      <c r="E2" s="1464"/>
      <c r="F2" s="1464"/>
      <c r="G2" s="1464"/>
      <c r="H2" s="1464"/>
      <c r="I2" s="1464"/>
      <c r="J2" s="1464"/>
      <c r="K2" s="1464"/>
      <c r="L2" s="1464"/>
      <c r="M2" s="1464"/>
      <c r="N2" s="1464"/>
      <c r="O2" s="1464"/>
      <c r="P2" s="1464"/>
      <c r="Q2" s="1464"/>
      <c r="R2" s="1464"/>
      <c r="S2" s="1464"/>
      <c r="T2" s="1464"/>
      <c r="U2" s="1464"/>
      <c r="V2" s="1464"/>
      <c r="W2" s="1464"/>
    </row>
    <row r="3" spans="1:23" ht="13.15" customHeight="1" x14ac:dyDescent="0.25">
      <c r="B3" s="157"/>
      <c r="C3" s="1465" t="s">
        <v>2223</v>
      </c>
      <c r="D3" s="1465"/>
      <c r="E3" s="1465"/>
      <c r="F3" s="1465"/>
      <c r="G3" s="1465"/>
      <c r="H3" s="1465"/>
      <c r="I3" s="1465"/>
      <c r="J3" s="1465"/>
      <c r="K3" s="1465"/>
      <c r="L3" s="1465"/>
      <c r="M3" s="157"/>
      <c r="N3" s="1465" t="s">
        <v>2224</v>
      </c>
      <c r="O3" s="1465"/>
      <c r="P3" s="1465"/>
      <c r="Q3" s="1465"/>
      <c r="R3" s="1465"/>
      <c r="S3" s="1465"/>
      <c r="T3" s="1465"/>
      <c r="U3" s="1465"/>
      <c r="V3" s="1465"/>
      <c r="W3" s="1465"/>
    </row>
    <row r="4" spans="1:23" ht="14.25" customHeight="1" x14ac:dyDescent="0.25">
      <c r="A4" s="1410" t="s">
        <v>2225</v>
      </c>
      <c r="B4" s="158"/>
      <c r="C4" s="1310" t="s">
        <v>2226</v>
      </c>
      <c r="D4" s="1410" t="s">
        <v>1064</v>
      </c>
      <c r="E4" s="1410"/>
      <c r="F4" s="1310" t="s">
        <v>239</v>
      </c>
      <c r="G4" s="1310"/>
      <c r="H4" s="1310" t="s">
        <v>240</v>
      </c>
      <c r="I4" s="1310"/>
      <c r="J4" s="1410" t="s">
        <v>2227</v>
      </c>
      <c r="K4" s="1410" t="s">
        <v>2228</v>
      </c>
      <c r="L4" s="1310" t="s">
        <v>2229</v>
      </c>
      <c r="M4" s="157"/>
      <c r="N4" s="1310" t="s">
        <v>2226</v>
      </c>
      <c r="O4" s="1410" t="s">
        <v>1064</v>
      </c>
      <c r="P4" s="1410"/>
      <c r="Q4" s="1310" t="s">
        <v>239</v>
      </c>
      <c r="R4" s="1310"/>
      <c r="S4" s="1310" t="s">
        <v>240</v>
      </c>
      <c r="T4" s="1310"/>
      <c r="U4" s="1410" t="s">
        <v>2227</v>
      </c>
      <c r="V4" s="1410" t="s">
        <v>2228</v>
      </c>
      <c r="W4" s="1310" t="s">
        <v>2229</v>
      </c>
    </row>
    <row r="5" spans="1:23" ht="30.75" thickBot="1" x14ac:dyDescent="0.3">
      <c r="A5" s="1424"/>
      <c r="B5" s="372"/>
      <c r="C5" s="1419"/>
      <c r="D5" s="832" t="s">
        <v>2230</v>
      </c>
      <c r="E5" s="832" t="s">
        <v>2231</v>
      </c>
      <c r="F5" s="832" t="s">
        <v>2230</v>
      </c>
      <c r="G5" s="832" t="s">
        <v>2231</v>
      </c>
      <c r="H5" s="832" t="s">
        <v>2230</v>
      </c>
      <c r="I5" s="832" t="s">
        <v>2231</v>
      </c>
      <c r="J5" s="1424"/>
      <c r="K5" s="1424"/>
      <c r="L5" s="1419"/>
      <c r="M5" s="157"/>
      <c r="N5" s="1419"/>
      <c r="O5" s="832" t="s">
        <v>2230</v>
      </c>
      <c r="P5" s="832" t="s">
        <v>2231</v>
      </c>
      <c r="Q5" s="832" t="s">
        <v>2230</v>
      </c>
      <c r="R5" s="832" t="s">
        <v>2231</v>
      </c>
      <c r="S5" s="832" t="s">
        <v>2230</v>
      </c>
      <c r="T5" s="832" t="s">
        <v>2231</v>
      </c>
      <c r="U5" s="1424"/>
      <c r="V5" s="1424"/>
      <c r="W5" s="1419"/>
    </row>
    <row r="6" spans="1:23" ht="15.75" thickTop="1" x14ac:dyDescent="0.25">
      <c r="A6" s="5">
        <v>1.9999999999999999E-7</v>
      </c>
      <c r="B6" s="159"/>
      <c r="C6" s="1">
        <v>30</v>
      </c>
      <c r="D6" s="46">
        <v>3.8237786820830301E-3</v>
      </c>
      <c r="E6" s="46">
        <v>2.24409590163762E-4</v>
      </c>
      <c r="F6" s="46">
        <v>2.8543184689285499E-3</v>
      </c>
      <c r="G6" s="46">
        <v>2.8931188821681899E-4</v>
      </c>
      <c r="H6" s="46">
        <v>6.0721816355164696E-3</v>
      </c>
      <c r="I6" s="46">
        <v>3.8790504696928401E-4</v>
      </c>
      <c r="J6" s="46">
        <v>-3.2178631665879102E-3</v>
      </c>
      <c r="K6" s="46">
        <v>4.8390944088305601E-4</v>
      </c>
      <c r="L6" s="5">
        <v>2.9364748978045202E-11</v>
      </c>
      <c r="M6" s="157"/>
      <c r="N6" s="1">
        <v>22</v>
      </c>
      <c r="O6" s="46">
        <v>2.8391034861007902E-3</v>
      </c>
      <c r="P6" s="46">
        <v>1.9125333690734499E-4</v>
      </c>
      <c r="Q6" s="46">
        <v>2.1540556885392202E-3</v>
      </c>
      <c r="R6" s="46">
        <v>2.4787329479847802E-4</v>
      </c>
      <c r="S6" s="46">
        <v>4.5133645825813596E-3</v>
      </c>
      <c r="T6" s="46">
        <v>3.3159672255779401E-4</v>
      </c>
      <c r="U6" s="46">
        <v>-2.3593088940421399E-3</v>
      </c>
      <c r="V6" s="46">
        <v>4.1399934709205097E-4</v>
      </c>
      <c r="W6" s="5">
        <v>1.20637576945374E-8</v>
      </c>
    </row>
    <row r="7" spans="1:23" x14ac:dyDescent="0.25">
      <c r="A7" s="5">
        <v>3.5565588200778501E-7</v>
      </c>
      <c r="B7" s="159"/>
      <c r="C7" s="1">
        <v>36</v>
      </c>
      <c r="D7" s="46">
        <v>4.3156377325327001E-3</v>
      </c>
      <c r="E7" s="46">
        <v>2.3873358383660301E-4</v>
      </c>
      <c r="F7" s="46">
        <v>3.1270451937043201E-3</v>
      </c>
      <c r="G7" s="46">
        <v>3.0271979931019899E-4</v>
      </c>
      <c r="H7" s="46">
        <v>6.8007619302538199E-3</v>
      </c>
      <c r="I7" s="46">
        <v>4.12509195655687E-4</v>
      </c>
      <c r="J7" s="46">
        <v>-3.6737167365494998E-3</v>
      </c>
      <c r="K7" s="46">
        <v>5.1166314638761295E-4</v>
      </c>
      <c r="L7" s="5">
        <v>6.9735992381233002E-13</v>
      </c>
      <c r="M7" s="157"/>
      <c r="N7" s="1">
        <v>26</v>
      </c>
      <c r="O7" s="46">
        <v>3.17640660365715E-3</v>
      </c>
      <c r="P7" s="46">
        <v>2.03275303639056E-4</v>
      </c>
      <c r="Q7" s="46">
        <v>2.3368964293616701E-3</v>
      </c>
      <c r="R7" s="46">
        <v>2.58511751846569E-4</v>
      </c>
      <c r="S7" s="46">
        <v>5.0205262391196997E-3</v>
      </c>
      <c r="T7" s="46">
        <v>3.52943928709013E-4</v>
      </c>
      <c r="U7" s="46">
        <v>-2.68362980975803E-3</v>
      </c>
      <c r="V7" s="46">
        <v>4.3748746547921699E-4</v>
      </c>
      <c r="W7" s="5">
        <v>8.5595927626974001E-10</v>
      </c>
    </row>
    <row r="8" spans="1:23" x14ac:dyDescent="0.25">
      <c r="A8" s="5">
        <v>6.3245553203367605E-7</v>
      </c>
      <c r="B8" s="159"/>
      <c r="C8" s="1">
        <v>39</v>
      </c>
      <c r="D8" s="46">
        <v>4.5412278762757803E-3</v>
      </c>
      <c r="E8" s="46">
        <v>2.4460471665950202E-4</v>
      </c>
      <c r="F8" s="46">
        <v>3.3919714917858799E-3</v>
      </c>
      <c r="G8" s="46">
        <v>3.1434855067660901E-4</v>
      </c>
      <c r="H8" s="46">
        <v>6.9991064764311998E-3</v>
      </c>
      <c r="I8" s="46">
        <v>4.18245212223076E-4</v>
      </c>
      <c r="J8" s="46">
        <v>-3.6071349846453298E-3</v>
      </c>
      <c r="K8" s="46">
        <v>5.2320151872705496E-4</v>
      </c>
      <c r="L8" s="5">
        <v>5.41112161739925E-12</v>
      </c>
      <c r="M8" s="157"/>
      <c r="N8" s="1">
        <v>28</v>
      </c>
      <c r="O8" s="46">
        <v>3.3311741263319298E-3</v>
      </c>
      <c r="P8" s="46">
        <v>2.0813238857597099E-4</v>
      </c>
      <c r="Q8" s="46">
        <v>2.56583209232764E-3</v>
      </c>
      <c r="R8" s="46">
        <v>2.7028386339993202E-4</v>
      </c>
      <c r="S8" s="46">
        <v>5.11447572954236E-3</v>
      </c>
      <c r="T8" s="46">
        <v>3.5630716555294298E-4</v>
      </c>
      <c r="U8" s="46">
        <v>-2.54864363721472E-3</v>
      </c>
      <c r="V8" s="46">
        <v>4.47219754174367E-4</v>
      </c>
      <c r="W8" s="5">
        <v>1.206098438906E-8</v>
      </c>
    </row>
    <row r="9" spans="1:23" x14ac:dyDescent="0.25">
      <c r="A9" s="5">
        <v>1.1246826503807E-6</v>
      </c>
      <c r="B9" s="159"/>
      <c r="C9" s="1">
        <v>40</v>
      </c>
      <c r="D9" s="46">
        <v>4.6092427204877098E-3</v>
      </c>
      <c r="E9" s="46">
        <v>2.46268965350496E-4</v>
      </c>
      <c r="F9" s="46">
        <v>3.4363964608314299E-3</v>
      </c>
      <c r="G9" s="46">
        <v>3.1619627167733398E-4</v>
      </c>
      <c r="H9" s="46">
        <v>7.0893749865154499E-3</v>
      </c>
      <c r="I9" s="46">
        <v>4.2075027611927898E-4</v>
      </c>
      <c r="J9" s="46">
        <v>-3.6529785256840201E-3</v>
      </c>
      <c r="K9" s="46">
        <v>5.2631412809236696E-4</v>
      </c>
      <c r="L9" s="5">
        <v>3.90213962115596E-12</v>
      </c>
      <c r="M9" s="157"/>
      <c r="N9" s="1">
        <v>28</v>
      </c>
      <c r="O9" s="46">
        <v>3.3311741263319298E-3</v>
      </c>
      <c r="P9" s="46">
        <v>2.0813238857597099E-4</v>
      </c>
      <c r="Q9" s="46">
        <v>2.56583209232764E-3</v>
      </c>
      <c r="R9" s="46">
        <v>2.7028386339993202E-4</v>
      </c>
      <c r="S9" s="46">
        <v>5.11447572954236E-3</v>
      </c>
      <c r="T9" s="46">
        <v>3.5630716555294298E-4</v>
      </c>
      <c r="U9" s="46">
        <v>-2.54864363721472E-3</v>
      </c>
      <c r="V9" s="46">
        <v>4.47219754174367E-4</v>
      </c>
      <c r="W9" s="5">
        <v>1.206098438906E-8</v>
      </c>
    </row>
    <row r="10" spans="1:23" x14ac:dyDescent="0.25">
      <c r="A10" s="5">
        <v>1.9999999999999999E-6</v>
      </c>
      <c r="B10" s="159"/>
      <c r="C10" s="1">
        <v>46</v>
      </c>
      <c r="D10" s="46">
        <v>5.1284914678910304E-3</v>
      </c>
      <c r="E10" s="46">
        <v>2.6402189889920802E-4</v>
      </c>
      <c r="F10" s="46">
        <v>3.8242274382451098E-3</v>
      </c>
      <c r="G10" s="46">
        <v>3.37942470863499E-4</v>
      </c>
      <c r="H10" s="46">
        <v>7.7699242873512098E-3</v>
      </c>
      <c r="I10" s="46">
        <v>4.49754266437751E-4</v>
      </c>
      <c r="J10" s="46">
        <v>-3.9456968491060999E-3</v>
      </c>
      <c r="K10" s="46">
        <v>5.6256443523999898E-4</v>
      </c>
      <c r="L10" s="5">
        <v>2.3198272940737601E-12</v>
      </c>
      <c r="M10" s="157"/>
      <c r="N10" s="1">
        <v>33</v>
      </c>
      <c r="O10" s="46">
        <v>3.7786056625575002E-3</v>
      </c>
      <c r="P10" s="46">
        <v>2.26730020969592E-4</v>
      </c>
      <c r="Q10" s="46">
        <v>2.9414275184504999E-3</v>
      </c>
      <c r="R10" s="46">
        <v>2.9463109568752101E-4</v>
      </c>
      <c r="S10" s="46">
        <v>5.6472468497131096E-3</v>
      </c>
      <c r="T10" s="46">
        <v>3.8547894347261001E-4</v>
      </c>
      <c r="U10" s="46">
        <v>-2.7058193312626102E-3</v>
      </c>
      <c r="V10" s="46">
        <v>4.85178423006574E-4</v>
      </c>
      <c r="W10" s="5">
        <v>2.4476196662692601E-8</v>
      </c>
    </row>
    <row r="11" spans="1:23" x14ac:dyDescent="0.25">
      <c r="A11" s="5">
        <v>3.55655882007785E-6</v>
      </c>
      <c r="B11" s="159"/>
      <c r="C11" s="1">
        <v>52</v>
      </c>
      <c r="D11" s="46">
        <v>5.52774192910894E-3</v>
      </c>
      <c r="E11" s="46">
        <v>2.7380889202489401E-4</v>
      </c>
      <c r="F11" s="46">
        <v>4.1271738443400497E-3</v>
      </c>
      <c r="G11" s="46">
        <v>3.5145391492957199E-4</v>
      </c>
      <c r="H11" s="46">
        <v>8.3214657508284794E-3</v>
      </c>
      <c r="I11" s="46">
        <v>4.6425372722162702E-4</v>
      </c>
      <c r="J11" s="46">
        <v>-4.1942919064884296E-3</v>
      </c>
      <c r="K11" s="46">
        <v>5.8227615608084005E-4</v>
      </c>
      <c r="L11" s="5">
        <v>5.8785744140464905E-13</v>
      </c>
      <c r="M11" s="157"/>
      <c r="N11" s="1">
        <v>37</v>
      </c>
      <c r="O11" s="46">
        <v>4.0552163577004304E-3</v>
      </c>
      <c r="P11" s="46">
        <v>2.3497234573026501E-4</v>
      </c>
      <c r="Q11" s="46">
        <v>3.2176083405935302E-3</v>
      </c>
      <c r="R11" s="46">
        <v>3.0874270818697698E-4</v>
      </c>
      <c r="S11" s="46">
        <v>5.9318558438343598E-3</v>
      </c>
      <c r="T11" s="46">
        <v>3.9470982113084499E-4</v>
      </c>
      <c r="U11" s="46">
        <v>-2.71424750324083E-3</v>
      </c>
      <c r="V11" s="46">
        <v>5.0111290037903799E-4</v>
      </c>
      <c r="W11" s="5">
        <v>6.0797688104651006E-8</v>
      </c>
    </row>
    <row r="12" spans="1:23" x14ac:dyDescent="0.25">
      <c r="A12" s="5">
        <v>6.3245553203367601E-6</v>
      </c>
      <c r="B12" s="159"/>
      <c r="C12" s="1">
        <v>56</v>
      </c>
      <c r="D12" s="46">
        <v>5.7651964499345603E-3</v>
      </c>
      <c r="E12" s="46">
        <v>2.79061158957609E-4</v>
      </c>
      <c r="F12" s="46">
        <v>4.3895007570655198E-3</v>
      </c>
      <c r="G12" s="46">
        <v>3.6118770713419301E-4</v>
      </c>
      <c r="H12" s="46">
        <v>8.5740482429236698E-3</v>
      </c>
      <c r="I12" s="46">
        <v>4.7065074252862201E-4</v>
      </c>
      <c r="J12" s="46">
        <v>-4.1845474858581396E-3</v>
      </c>
      <c r="K12" s="46">
        <v>5.9326424583545001E-4</v>
      </c>
      <c r="L12" s="5">
        <v>1.7456107004192801E-12</v>
      </c>
      <c r="M12" s="157"/>
      <c r="N12" s="1">
        <v>39</v>
      </c>
      <c r="O12" s="46">
        <v>4.1709705937657904E-3</v>
      </c>
      <c r="P12" s="46">
        <v>2.37917324674643E-4</v>
      </c>
      <c r="Q12" s="46">
        <v>3.3760907721786799E-3</v>
      </c>
      <c r="R12" s="46">
        <v>3.1524725791392399E-4</v>
      </c>
      <c r="S12" s="46">
        <v>6.0138891075598496E-3</v>
      </c>
      <c r="T12" s="46">
        <v>3.9718687086726697E-4</v>
      </c>
      <c r="U12" s="46">
        <v>-2.6377983353811701E-3</v>
      </c>
      <c r="V12" s="46">
        <v>5.0708414556764798E-4</v>
      </c>
      <c r="W12" s="5">
        <v>1.97266978925458E-7</v>
      </c>
    </row>
    <row r="13" spans="1:23" x14ac:dyDescent="0.25">
      <c r="A13" s="5">
        <v>1.1246826503806999E-5</v>
      </c>
      <c r="B13" s="159"/>
      <c r="C13" s="1">
        <v>72</v>
      </c>
      <c r="D13" s="46">
        <v>6.7260135471993304E-3</v>
      </c>
      <c r="E13" s="46">
        <v>3.0154512962853801E-4</v>
      </c>
      <c r="F13" s="46">
        <v>5.4885265551169703E-3</v>
      </c>
      <c r="G13" s="46">
        <v>4.0595538002425702E-4</v>
      </c>
      <c r="H13" s="46">
        <v>9.5543118646554698E-3</v>
      </c>
      <c r="I13" s="46">
        <v>4.9618488954052001E-4</v>
      </c>
      <c r="J13" s="46">
        <v>-4.0657853095384996E-3</v>
      </c>
      <c r="K13" s="46">
        <v>6.41085997493644E-4</v>
      </c>
      <c r="L13" s="5">
        <v>2.26760173760949E-10</v>
      </c>
      <c r="M13" s="157"/>
      <c r="N13" s="1">
        <v>44</v>
      </c>
      <c r="O13" s="46">
        <v>4.5246553882179602E-3</v>
      </c>
      <c r="P13" s="46">
        <v>2.4954662746765901E-4</v>
      </c>
      <c r="Q13" s="46">
        <v>3.8045571855873598E-3</v>
      </c>
      <c r="R13" s="46">
        <v>3.4101427647129703E-4</v>
      </c>
      <c r="S13" s="46">
        <v>6.3859158597975299E-3</v>
      </c>
      <c r="T13" s="46">
        <v>4.0978663319200798E-4</v>
      </c>
      <c r="U13" s="46">
        <v>-2.58135867421018E-3</v>
      </c>
      <c r="V13" s="46">
        <v>5.3311464979740697E-4</v>
      </c>
      <c r="W13" s="5">
        <v>1.28517477759569E-6</v>
      </c>
    </row>
    <row r="14" spans="1:23" x14ac:dyDescent="0.25">
      <c r="A14" s="5">
        <v>2.0000000000000002E-5</v>
      </c>
      <c r="B14" s="159"/>
      <c r="C14" s="1">
        <v>83</v>
      </c>
      <c r="D14" s="46">
        <v>7.38428104415614E-3</v>
      </c>
      <c r="E14" s="46">
        <v>3.1645704448757798E-4</v>
      </c>
      <c r="F14" s="46">
        <v>5.8739913905230404E-3</v>
      </c>
      <c r="G14" s="46">
        <v>4.2063388866484398E-4</v>
      </c>
      <c r="H14" s="46">
        <v>1.05578951545429E-2</v>
      </c>
      <c r="I14" s="46">
        <v>5.2277908051333105E-4</v>
      </c>
      <c r="J14" s="46">
        <v>-4.6839037640198497E-3</v>
      </c>
      <c r="K14" s="46">
        <v>6.7098564909711799E-4</v>
      </c>
      <c r="L14" s="5">
        <v>2.9385551862566098E-12</v>
      </c>
      <c r="M14" s="157"/>
      <c r="N14" s="1">
        <v>52</v>
      </c>
      <c r="O14" s="46">
        <v>5.0114781396799601E-3</v>
      </c>
      <c r="P14" s="46">
        <v>2.6303505500304498E-4</v>
      </c>
      <c r="Q14" s="46">
        <v>4.1009299792729298E-3</v>
      </c>
      <c r="R14" s="46">
        <v>3.5442106255206498E-4</v>
      </c>
      <c r="S14" s="46">
        <v>7.0984395191092198E-3</v>
      </c>
      <c r="T14" s="46">
        <v>4.33264191652964E-4</v>
      </c>
      <c r="U14" s="46">
        <v>-2.99750953983629E-3</v>
      </c>
      <c r="V14" s="46">
        <v>5.5975606437467596E-4</v>
      </c>
      <c r="W14" s="5">
        <v>8.5543049319319106E-8</v>
      </c>
    </row>
    <row r="15" spans="1:23" x14ac:dyDescent="0.25">
      <c r="A15" s="5">
        <v>3.5565588200778499E-5</v>
      </c>
      <c r="B15" s="159"/>
      <c r="C15" s="1">
        <v>102</v>
      </c>
      <c r="D15" s="46">
        <v>8.3835822311697401E-3</v>
      </c>
      <c r="E15" s="46">
        <v>3.3667092945652998E-4</v>
      </c>
      <c r="F15" s="46">
        <v>6.7901800446192899E-3</v>
      </c>
      <c r="G15" s="46">
        <v>4.51750873677E-4</v>
      </c>
      <c r="H15" s="46">
        <v>1.16664501059699E-2</v>
      </c>
      <c r="I15" s="46">
        <v>5.4838290224763103E-4</v>
      </c>
      <c r="J15" s="46">
        <v>-4.8762700613505803E-3</v>
      </c>
      <c r="K15" s="46">
        <v>7.1048702387914496E-4</v>
      </c>
      <c r="L15" s="5">
        <v>6.7298009522640398E-12</v>
      </c>
      <c r="M15" s="157"/>
      <c r="N15" s="1">
        <v>65</v>
      </c>
      <c r="O15" s="46">
        <v>5.7148575574018099E-3</v>
      </c>
      <c r="P15" s="46">
        <v>2.8068934993192202E-4</v>
      </c>
      <c r="Q15" s="46">
        <v>4.8899208125867304E-3</v>
      </c>
      <c r="R15" s="46">
        <v>3.8616608834112501E-4</v>
      </c>
      <c r="S15" s="46">
        <v>7.7320112033393796E-3</v>
      </c>
      <c r="T15" s="46">
        <v>4.5178357236830302E-4</v>
      </c>
      <c r="U15" s="46">
        <v>-2.8420903907526501E-3</v>
      </c>
      <c r="V15" s="46">
        <v>5.94328405266962E-4</v>
      </c>
      <c r="W15" s="5">
        <v>1.73542305701212E-6</v>
      </c>
    </row>
    <row r="16" spans="1:23" x14ac:dyDescent="0.25">
      <c r="A16" s="5">
        <v>6.3245553203367604E-5</v>
      </c>
      <c r="B16" s="159"/>
      <c r="C16" s="1">
        <v>139</v>
      </c>
      <c r="D16" s="46">
        <v>1.02412784123965E-2</v>
      </c>
      <c r="E16" s="46">
        <v>3.7213495959671598E-4</v>
      </c>
      <c r="F16" s="46">
        <v>8.3403510184953695E-3</v>
      </c>
      <c r="G16" s="46">
        <v>5.0106868808308402E-4</v>
      </c>
      <c r="H16" s="46">
        <v>1.38784417109047E-2</v>
      </c>
      <c r="I16" s="46">
        <v>5.9893324742818E-4</v>
      </c>
      <c r="J16" s="46">
        <v>-5.5380906924092903E-3</v>
      </c>
      <c r="K16" s="46">
        <v>7.8088182284245995E-4</v>
      </c>
      <c r="L16" s="5">
        <v>1.3209357250202899E-12</v>
      </c>
      <c r="M16" s="157"/>
      <c r="N16" s="1">
        <v>96</v>
      </c>
      <c r="O16" s="46">
        <v>7.2899785014101303E-3</v>
      </c>
      <c r="P16" s="46">
        <v>3.1687829924498701E-4</v>
      </c>
      <c r="Q16" s="46">
        <v>6.1712220679385303E-3</v>
      </c>
      <c r="R16" s="46">
        <v>4.3442293393100697E-4</v>
      </c>
      <c r="S16" s="46">
        <v>9.62121389300441E-3</v>
      </c>
      <c r="T16" s="46">
        <v>5.0431111533120597E-4</v>
      </c>
      <c r="U16" s="46">
        <v>-3.4499918250658801E-3</v>
      </c>
      <c r="V16" s="46">
        <v>6.6561550367959298E-4</v>
      </c>
      <c r="W16" s="5">
        <v>2.18157433920844E-7</v>
      </c>
    </row>
    <row r="17" spans="1:23" x14ac:dyDescent="0.25">
      <c r="A17" s="5">
        <v>1.1246826503807E-4</v>
      </c>
      <c r="B17" s="159"/>
      <c r="C17" s="1">
        <v>179</v>
      </c>
      <c r="D17" s="46">
        <v>1.20532691576631E-2</v>
      </c>
      <c r="E17" s="46">
        <v>4.0273419124159902E-4</v>
      </c>
      <c r="F17" s="46">
        <v>1.02132903353329E-2</v>
      </c>
      <c r="G17" s="46">
        <v>5.5048815339962603E-4</v>
      </c>
      <c r="H17" s="46">
        <v>1.5861679981366599E-2</v>
      </c>
      <c r="I17" s="46">
        <v>6.4035484572598001E-4</v>
      </c>
      <c r="J17" s="46">
        <v>-5.6483896460336903E-3</v>
      </c>
      <c r="K17" s="46">
        <v>8.4443661031187E-4</v>
      </c>
      <c r="L17" s="5">
        <v>2.24785908091943E-11</v>
      </c>
      <c r="M17" s="157"/>
      <c r="N17" s="1">
        <v>122</v>
      </c>
      <c r="O17" s="46">
        <v>8.4638359220606998E-3</v>
      </c>
      <c r="P17" s="46">
        <v>3.4000858350424198E-4</v>
      </c>
      <c r="Q17" s="46">
        <v>7.4023515554562198E-3</v>
      </c>
      <c r="R17" s="46">
        <v>4.7151430858298699E-4</v>
      </c>
      <c r="S17" s="46">
        <v>1.0898748963108201E-2</v>
      </c>
      <c r="T17" s="46">
        <v>5.3595682193535005E-4</v>
      </c>
      <c r="U17" s="46">
        <v>-3.49639740765197E-3</v>
      </c>
      <c r="V17" s="46">
        <v>7.1383775447732896E-4</v>
      </c>
      <c r="W17" s="5">
        <v>9.6803175118554804E-7</v>
      </c>
    </row>
    <row r="18" spans="1:23" x14ac:dyDescent="0.25">
      <c r="A18" s="5">
        <v>2.0000000000000001E-4</v>
      </c>
      <c r="B18" s="159"/>
      <c r="C18" s="1">
        <v>234</v>
      </c>
      <c r="D18" s="46">
        <v>1.45027693050681E-2</v>
      </c>
      <c r="E18" s="46">
        <v>4.4538513215290301E-4</v>
      </c>
      <c r="F18" s="46">
        <v>1.24266223389817E-2</v>
      </c>
      <c r="G18" s="46">
        <v>6.0965853317329198E-4</v>
      </c>
      <c r="H18" s="46">
        <v>1.8780789880571899E-2</v>
      </c>
      <c r="I18" s="46">
        <v>7.0551552586648901E-4</v>
      </c>
      <c r="J18" s="46">
        <v>-6.3541675415901997E-3</v>
      </c>
      <c r="K18" s="46">
        <v>9.3242209622767603E-4</v>
      </c>
      <c r="L18" s="5">
        <v>9.4467242649468899E-12</v>
      </c>
      <c r="M18" s="157"/>
      <c r="N18" s="1">
        <v>164</v>
      </c>
      <c r="O18" s="46">
        <v>1.03255692485035E-2</v>
      </c>
      <c r="P18" s="46">
        <v>3.7819693922059401E-4</v>
      </c>
      <c r="Q18" s="46">
        <v>9.2248897440641905E-3</v>
      </c>
      <c r="R18" s="46">
        <v>5.2736959172994605E-4</v>
      </c>
      <c r="S18" s="46">
        <v>1.2973303202388001E-2</v>
      </c>
      <c r="T18" s="46">
        <v>5.9263145649097201E-4</v>
      </c>
      <c r="U18" s="46">
        <v>-3.7484134583238098E-3</v>
      </c>
      <c r="V18" s="46">
        <v>7.9329404914002001E-4</v>
      </c>
      <c r="W18" s="5">
        <v>2.2997397274543002E-6</v>
      </c>
    </row>
    <row r="19" spans="1:23" x14ac:dyDescent="0.25">
      <c r="A19" s="5">
        <v>3.5565588200778497E-4</v>
      </c>
      <c r="B19" s="159"/>
      <c r="C19" s="1">
        <v>313</v>
      </c>
      <c r="D19" s="46">
        <v>1.7959787892766501E-2</v>
      </c>
      <c r="E19" s="46">
        <v>5.1153920057600696E-4</v>
      </c>
      <c r="F19" s="46">
        <v>1.5718653882807299E-2</v>
      </c>
      <c r="G19" s="46">
        <v>7.1904631441326603E-4</v>
      </c>
      <c r="H19" s="46">
        <v>2.26504098726951E-2</v>
      </c>
      <c r="I19" s="46">
        <v>7.8850654392442797E-4</v>
      </c>
      <c r="J19" s="46">
        <v>-6.9317559898878301E-3</v>
      </c>
      <c r="K19" s="46">
        <v>1.0671142777981201E-3</v>
      </c>
      <c r="L19" s="5">
        <v>8.2595860013298795E-11</v>
      </c>
      <c r="M19" s="157"/>
      <c r="N19" s="1">
        <v>220</v>
      </c>
      <c r="O19" s="46">
        <v>1.27364374558074E-2</v>
      </c>
      <c r="P19" s="46">
        <v>4.2869913700402E-4</v>
      </c>
      <c r="Q19" s="46">
        <v>1.1696020422094699E-2</v>
      </c>
      <c r="R19" s="46">
        <v>6.1248669249800596E-4</v>
      </c>
      <c r="S19" s="46">
        <v>1.54496599438618E-2</v>
      </c>
      <c r="T19" s="46">
        <v>6.5323466160466205E-4</v>
      </c>
      <c r="U19" s="46">
        <v>-3.75363952176712E-3</v>
      </c>
      <c r="V19" s="46">
        <v>8.9545150068884804E-4</v>
      </c>
      <c r="W19" s="5">
        <v>2.76632868479213E-5</v>
      </c>
    </row>
    <row r="20" spans="1:23" x14ac:dyDescent="0.25">
      <c r="A20" s="5">
        <v>6.3245553203367599E-4</v>
      </c>
      <c r="B20" s="159"/>
      <c r="C20" s="1">
        <v>433</v>
      </c>
      <c r="D20" s="46">
        <v>2.2326344521854901E-2</v>
      </c>
      <c r="E20" s="46">
        <v>5.7020595720514301E-4</v>
      </c>
      <c r="F20" s="46">
        <v>1.9812843474194201E-2</v>
      </c>
      <c r="G20" s="46">
        <v>8.0733804863057505E-4</v>
      </c>
      <c r="H20" s="46">
        <v>2.78320988932628E-2</v>
      </c>
      <c r="I20" s="46">
        <v>8.7824276868523905E-4</v>
      </c>
      <c r="J20" s="46">
        <v>-8.0192554190685692E-3</v>
      </c>
      <c r="K20" s="46">
        <v>1.1929178319269099E-3</v>
      </c>
      <c r="L20" s="5">
        <v>1.7877127396456801E-11</v>
      </c>
      <c r="M20" s="157"/>
      <c r="N20" s="1">
        <v>299</v>
      </c>
      <c r="O20" s="46">
        <v>1.56074375826851E-2</v>
      </c>
      <c r="P20" s="46">
        <v>4.7598431723456602E-4</v>
      </c>
      <c r="Q20" s="46">
        <v>1.46185601737006E-2</v>
      </c>
      <c r="R20" s="46">
        <v>6.8679516581512902E-4</v>
      </c>
      <c r="S20" s="46">
        <v>1.8475705950296399E-2</v>
      </c>
      <c r="T20" s="46">
        <v>7.2165087484771999E-4</v>
      </c>
      <c r="U20" s="46">
        <v>-3.8571457765958499E-3</v>
      </c>
      <c r="V20" s="46">
        <v>9.9621139984428799E-4</v>
      </c>
      <c r="W20" s="5">
        <v>1.08028139816743E-4</v>
      </c>
    </row>
    <row r="21" spans="1:23" x14ac:dyDescent="0.25">
      <c r="A21" s="5">
        <v>1.1246826503806999E-3</v>
      </c>
      <c r="B21" s="159"/>
      <c r="C21" s="1">
        <v>617</v>
      </c>
      <c r="D21" s="46">
        <v>2.8682850537145699E-2</v>
      </c>
      <c r="E21" s="46">
        <v>6.5025875132703804E-4</v>
      </c>
      <c r="F21" s="46">
        <v>2.5422397235107998E-2</v>
      </c>
      <c r="G21" s="46">
        <v>9.11623319865538E-4</v>
      </c>
      <c r="H21" s="46">
        <v>3.4914441446398201E-2</v>
      </c>
      <c r="I21" s="46">
        <v>9.9158162220605605E-4</v>
      </c>
      <c r="J21" s="46">
        <v>-9.4920442112901605E-3</v>
      </c>
      <c r="K21" s="46">
        <v>1.3469284122332699E-3</v>
      </c>
      <c r="L21" s="5">
        <v>1.82582760498754E-12</v>
      </c>
      <c r="M21" s="157"/>
      <c r="N21" s="1">
        <v>419</v>
      </c>
      <c r="O21" s="46">
        <v>1.9781684170995701E-2</v>
      </c>
      <c r="P21" s="46">
        <v>5.3905682108808402E-4</v>
      </c>
      <c r="Q21" s="46">
        <v>1.8415025906006799E-2</v>
      </c>
      <c r="R21" s="46">
        <v>7.7098387592646205E-4</v>
      </c>
      <c r="S21" s="46">
        <v>2.2861514171141899E-2</v>
      </c>
      <c r="T21" s="46">
        <v>8.0416913094992601E-4</v>
      </c>
      <c r="U21" s="46">
        <v>-4.4464882651351102E-3</v>
      </c>
      <c r="V21" s="46">
        <v>1.1140294239267499E-3</v>
      </c>
      <c r="W21" s="5">
        <v>6.5696514917591302E-5</v>
      </c>
    </row>
    <row r="22" spans="1:23" x14ac:dyDescent="0.25">
      <c r="A22" s="5">
        <v>2E-3</v>
      </c>
      <c r="B22" s="159"/>
      <c r="C22" s="373">
        <v>918</v>
      </c>
      <c r="D22" s="46">
        <v>3.84105742031456E-2</v>
      </c>
      <c r="E22" s="46">
        <v>7.8427712277019202E-4</v>
      </c>
      <c r="F22" s="46">
        <v>3.4080388010210301E-2</v>
      </c>
      <c r="G22" s="46">
        <v>1.0648920137040401E-3</v>
      </c>
      <c r="H22" s="46">
        <v>4.5121174852754603E-2</v>
      </c>
      <c r="I22" s="46">
        <v>1.1471582322143299E-3</v>
      </c>
      <c r="J22" s="46">
        <v>-1.10407868425443E-2</v>
      </c>
      <c r="K22" s="46">
        <v>1.5651994002935799E-3</v>
      </c>
      <c r="L22" s="5">
        <v>1.7395001544155401E-12</v>
      </c>
      <c r="M22" s="157"/>
      <c r="N22" s="373">
        <v>574</v>
      </c>
      <c r="O22" s="46">
        <v>2.4760811442866001E-2</v>
      </c>
      <c r="P22" s="46">
        <v>6.1368340101305898E-4</v>
      </c>
      <c r="Q22" s="46">
        <v>2.2828269516977199E-2</v>
      </c>
      <c r="R22" s="46">
        <v>8.6225059446942004E-4</v>
      </c>
      <c r="S22" s="46">
        <v>2.81788442187158E-2</v>
      </c>
      <c r="T22" s="46">
        <v>9.0962110230986002E-4</v>
      </c>
      <c r="U22" s="46">
        <v>-5.3505747017386198E-3</v>
      </c>
      <c r="V22" s="46">
        <v>1.25332599522402E-3</v>
      </c>
      <c r="W22" s="5">
        <v>1.9626278170034101E-5</v>
      </c>
    </row>
    <row r="23" spans="1:23" x14ac:dyDescent="0.25">
      <c r="A23" s="5">
        <v>3.5565588200778498E-3</v>
      </c>
      <c r="B23" s="159"/>
      <c r="C23" s="373">
        <v>1412</v>
      </c>
      <c r="D23" s="46">
        <v>5.2122656753696199E-2</v>
      </c>
      <c r="E23" s="46">
        <v>9.1551998378985205E-4</v>
      </c>
      <c r="F23" s="46">
        <v>4.5922029661313403E-2</v>
      </c>
      <c r="G23" s="46">
        <v>1.2535401020832501E-3</v>
      </c>
      <c r="H23" s="46">
        <v>6.0441113548485297E-2</v>
      </c>
      <c r="I23" s="46">
        <v>1.34575916360235E-3</v>
      </c>
      <c r="J23" s="46">
        <v>-1.4519083887171901E-2</v>
      </c>
      <c r="K23" s="46">
        <v>1.8390865380788701E-3</v>
      </c>
      <c r="L23" s="5">
        <v>2.90954256752002E-15</v>
      </c>
      <c r="M23" s="157"/>
      <c r="N23" s="373">
        <v>803</v>
      </c>
      <c r="O23" s="46">
        <v>3.1362770855731997E-2</v>
      </c>
      <c r="P23" s="46">
        <v>7.0261191183065201E-4</v>
      </c>
      <c r="Q23" s="46">
        <v>2.83272365202956E-2</v>
      </c>
      <c r="R23" s="46">
        <v>9.8126265478840091E-4</v>
      </c>
      <c r="S23" s="46">
        <v>3.5645076697827703E-2</v>
      </c>
      <c r="T23" s="46">
        <v>1.0446579067813599E-3</v>
      </c>
      <c r="U23" s="46">
        <v>-7.3178401775320697E-3</v>
      </c>
      <c r="V23" s="46">
        <v>1.4332117739599599E-3</v>
      </c>
      <c r="W23" s="5">
        <v>3.2921869134987098E-7</v>
      </c>
    </row>
    <row r="24" spans="1:23" x14ac:dyDescent="0.25">
      <c r="A24" s="5">
        <v>6.3245553203367597E-3</v>
      </c>
      <c r="B24" s="159"/>
      <c r="C24" s="373">
        <v>2201</v>
      </c>
      <c r="D24" s="46">
        <v>7.0791776888409194E-2</v>
      </c>
      <c r="E24" s="46">
        <v>1.0629968486393501E-3</v>
      </c>
      <c r="F24" s="46">
        <v>6.3228932036700602E-2</v>
      </c>
      <c r="G24" s="46">
        <v>1.48105553449761E-3</v>
      </c>
      <c r="H24" s="46">
        <v>8.0333855493846099E-2</v>
      </c>
      <c r="I24" s="46">
        <v>1.55756073152132E-3</v>
      </c>
      <c r="J24" s="46">
        <v>-1.7104923457145399E-2</v>
      </c>
      <c r="K24" s="46">
        <v>2.14923599171751E-3</v>
      </c>
      <c r="L24" s="5">
        <v>1.73987653673619E-15</v>
      </c>
      <c r="M24" s="157"/>
      <c r="N24" s="373">
        <v>1098</v>
      </c>
      <c r="O24" s="46">
        <v>3.8506197873799601E-2</v>
      </c>
      <c r="P24" s="46">
        <v>7.8187588397230097E-4</v>
      </c>
      <c r="Q24" s="46">
        <v>3.5377376721998498E-2</v>
      </c>
      <c r="R24" s="46">
        <v>1.1129133986886701E-3</v>
      </c>
      <c r="S24" s="46">
        <v>4.2872791726786402E-2</v>
      </c>
      <c r="T24" s="46">
        <v>1.1522797238946701E-3</v>
      </c>
      <c r="U24" s="46">
        <v>-7.4954150047879496E-3</v>
      </c>
      <c r="V24" s="46">
        <v>1.6019357600417601E-3</v>
      </c>
      <c r="W24" s="5">
        <v>2.8831466851609301E-6</v>
      </c>
    </row>
    <row r="25" spans="1:23" x14ac:dyDescent="0.25">
      <c r="A25" s="5">
        <v>1.1246826503806999E-2</v>
      </c>
      <c r="B25" s="159"/>
      <c r="C25" s="373">
        <v>3566</v>
      </c>
      <c r="D25" s="46">
        <v>9.8246899538077803E-2</v>
      </c>
      <c r="E25" s="46">
        <v>1.25027051846149E-3</v>
      </c>
      <c r="F25" s="46">
        <v>8.7513128862191494E-2</v>
      </c>
      <c r="G25" s="46">
        <v>1.7496993481623999E-3</v>
      </c>
      <c r="H25" s="46">
        <v>0.109926233479251</v>
      </c>
      <c r="I25" s="46">
        <v>1.8330440586513E-3</v>
      </c>
      <c r="J25" s="46">
        <v>-2.2413104617059001E-2</v>
      </c>
      <c r="K25" s="46">
        <v>2.5339687083308499E-3</v>
      </c>
      <c r="L25" s="5">
        <v>9.1479352702518403E-19</v>
      </c>
      <c r="M25" s="157"/>
      <c r="N25" s="373">
        <v>1453</v>
      </c>
      <c r="O25" s="46">
        <v>4.5595207023161499E-2</v>
      </c>
      <c r="P25" s="46">
        <v>8.4723788290599195E-4</v>
      </c>
      <c r="Q25" s="46">
        <v>4.1825788256516602E-2</v>
      </c>
      <c r="R25" s="46">
        <v>1.2093044264789401E-3</v>
      </c>
      <c r="S25" s="46">
        <v>5.0193539503434401E-2</v>
      </c>
      <c r="T25" s="46">
        <v>1.2439853877950001E-3</v>
      </c>
      <c r="U25" s="46">
        <v>-8.3677512469178799E-3</v>
      </c>
      <c r="V25" s="46">
        <v>1.73486483155536E-3</v>
      </c>
      <c r="W25" s="5">
        <v>1.4121144812016101E-6</v>
      </c>
    </row>
    <row r="26" spans="1:23" x14ac:dyDescent="0.25">
      <c r="A26" s="5">
        <v>0.02</v>
      </c>
      <c r="B26" s="159"/>
      <c r="C26" s="373">
        <v>5917</v>
      </c>
      <c r="D26" s="46">
        <v>0.13750345227584099</v>
      </c>
      <c r="E26" s="46">
        <v>1.4863353294153399E-3</v>
      </c>
      <c r="F26" s="46">
        <v>0.121688465466033</v>
      </c>
      <c r="G26" s="46">
        <v>2.0870025490255201E-3</v>
      </c>
      <c r="H26" s="46">
        <v>0.153020615297561</v>
      </c>
      <c r="I26" s="46">
        <v>2.18137609856414E-3</v>
      </c>
      <c r="J26" s="46">
        <v>-3.1332149831528003E-2</v>
      </c>
      <c r="K26" s="46">
        <v>3.0187968232821701E-3</v>
      </c>
      <c r="L26" s="5">
        <v>3.0893300270873502E-25</v>
      </c>
      <c r="M26" s="157"/>
      <c r="N26" s="373">
        <v>1786</v>
      </c>
      <c r="O26" s="46">
        <v>5.1161032648385299E-2</v>
      </c>
      <c r="P26" s="46">
        <v>8.9905967591742198E-4</v>
      </c>
      <c r="Q26" s="46">
        <v>4.6940769708047003E-2</v>
      </c>
      <c r="R26" s="46">
        <v>1.28276848462961E-3</v>
      </c>
      <c r="S26" s="46">
        <v>5.5995039741361198E-2</v>
      </c>
      <c r="T26" s="46">
        <v>1.32020956668143E-3</v>
      </c>
      <c r="U26" s="46">
        <v>-9.0542700333142608E-3</v>
      </c>
      <c r="V26" s="46">
        <v>1.84072163876789E-3</v>
      </c>
      <c r="W26" s="5">
        <v>8.7045353351071997E-7</v>
      </c>
    </row>
    <row r="27" spans="1:23" x14ac:dyDescent="0.25">
      <c r="A27" s="5">
        <v>3.55655882007785E-2</v>
      </c>
      <c r="B27" s="159"/>
      <c r="C27" s="373">
        <v>9872</v>
      </c>
      <c r="D27" s="46">
        <v>0.189876530579043</v>
      </c>
      <c r="E27" s="46">
        <v>1.7520510976415701E-3</v>
      </c>
      <c r="F27" s="46">
        <v>0.16948277370954501</v>
      </c>
      <c r="G27" s="46">
        <v>2.4937629909413698E-3</v>
      </c>
      <c r="H27" s="46">
        <v>0.209392371811638</v>
      </c>
      <c r="I27" s="46">
        <v>2.5812180860189798E-3</v>
      </c>
      <c r="J27" s="46">
        <v>-3.9909598102093297E-2</v>
      </c>
      <c r="K27" s="46">
        <v>3.5888879606554998E-3</v>
      </c>
      <c r="L27" s="5">
        <v>9.9908135810337896E-29</v>
      </c>
      <c r="M27" s="157"/>
      <c r="N27" s="373">
        <v>2115</v>
      </c>
      <c r="O27" s="46">
        <v>5.5638512607253499E-2</v>
      </c>
      <c r="P27" s="46">
        <v>9.3878704090213905E-4</v>
      </c>
      <c r="Q27" s="46">
        <v>5.0791861583985298E-2</v>
      </c>
      <c r="R27" s="46">
        <v>1.34532368175111E-3</v>
      </c>
      <c r="S27" s="46">
        <v>6.1254686630406799E-2</v>
      </c>
      <c r="T27" s="46">
        <v>1.38232638067032E-3</v>
      </c>
      <c r="U27" s="46">
        <v>-1.0462825046421501E-2</v>
      </c>
      <c r="V27" s="46">
        <v>1.92886001168308E-3</v>
      </c>
      <c r="W27" s="5">
        <v>5.8163575927435403E-8</v>
      </c>
    </row>
    <row r="28" spans="1:23" x14ac:dyDescent="0.25">
      <c r="A28" s="5">
        <v>6.3245553203367597E-2</v>
      </c>
      <c r="B28" s="159"/>
      <c r="C28" s="373">
        <v>16637</v>
      </c>
      <c r="D28" s="46">
        <v>0.25718262543673198</v>
      </c>
      <c r="E28" s="46">
        <v>2.06190491095588E-3</v>
      </c>
      <c r="F28" s="46">
        <v>0.22787103459060201</v>
      </c>
      <c r="G28" s="46">
        <v>2.95803163020535E-3</v>
      </c>
      <c r="H28" s="46">
        <v>0.28288946015433802</v>
      </c>
      <c r="I28" s="46">
        <v>3.0564423226455699E-3</v>
      </c>
      <c r="J28" s="46">
        <v>-5.5018425563736699E-2</v>
      </c>
      <c r="K28" s="46">
        <v>4.2531659635362202E-3</v>
      </c>
      <c r="L28" s="5">
        <v>2.82387610651509E-38</v>
      </c>
      <c r="M28" s="157"/>
      <c r="N28" s="373">
        <v>2387</v>
      </c>
      <c r="O28" s="46">
        <v>5.8402176289204501E-2</v>
      </c>
      <c r="P28" s="46">
        <v>9.6539136831947801E-4</v>
      </c>
      <c r="Q28" s="46">
        <v>5.3036188887221898E-2</v>
      </c>
      <c r="R28" s="46">
        <v>1.38634386021442E-3</v>
      </c>
      <c r="S28" s="46">
        <v>6.4575340221079705E-2</v>
      </c>
      <c r="T28" s="46">
        <v>1.42764722011354E-3</v>
      </c>
      <c r="U28" s="46">
        <v>-1.15391513338578E-2</v>
      </c>
      <c r="V28" s="46">
        <v>1.9899455104748901E-3</v>
      </c>
      <c r="W28" s="5">
        <v>6.6820093224600302E-9</v>
      </c>
    </row>
    <row r="29" spans="1:23" x14ac:dyDescent="0.25">
      <c r="A29" s="5">
        <v>0.11246826503807</v>
      </c>
      <c r="B29" s="159"/>
      <c r="C29" s="373">
        <v>28175</v>
      </c>
      <c r="D29" s="46">
        <v>0.33377209462351998</v>
      </c>
      <c r="E29" s="46">
        <v>2.3765493534806002E-3</v>
      </c>
      <c r="F29" s="46">
        <v>0.29659868796935601</v>
      </c>
      <c r="G29" s="46">
        <v>3.4773879177973401E-3</v>
      </c>
      <c r="H29" s="46">
        <v>0.36643737876502902</v>
      </c>
      <c r="I29" s="46">
        <v>3.5611771047923801E-3</v>
      </c>
      <c r="J29" s="46">
        <v>-6.9838690795672995E-2</v>
      </c>
      <c r="K29" s="46">
        <v>4.97698807396184E-3</v>
      </c>
      <c r="L29" s="5">
        <v>9.8863240095116599E-45</v>
      </c>
      <c r="M29" s="157"/>
      <c r="N29" s="373">
        <v>2630</v>
      </c>
      <c r="O29" s="46">
        <v>6.0097989675935402E-2</v>
      </c>
      <c r="P29" s="46">
        <v>9.8146780994284909E-4</v>
      </c>
      <c r="Q29" s="46">
        <v>5.4608813957572902E-2</v>
      </c>
      <c r="R29" s="46">
        <v>1.41303845199882E-3</v>
      </c>
      <c r="S29" s="46">
        <v>6.6553271543104101E-2</v>
      </c>
      <c r="T29" s="46">
        <v>1.45344329345282E-3</v>
      </c>
      <c r="U29" s="46">
        <v>-1.19444575855312E-2</v>
      </c>
      <c r="V29" s="46">
        <v>2.0270467393560098E-3</v>
      </c>
      <c r="W29" s="5">
        <v>3.8029991672579703E-9</v>
      </c>
    </row>
    <row r="30" spans="1:23" x14ac:dyDescent="0.25">
      <c r="A30" s="5">
        <v>0.2</v>
      </c>
      <c r="B30" s="159"/>
      <c r="C30" s="373">
        <v>48376</v>
      </c>
      <c r="D30" s="46">
        <v>0.40569634708777402</v>
      </c>
      <c r="E30" s="46">
        <v>2.6955026815181902E-3</v>
      </c>
      <c r="F30" s="46">
        <v>0.36260662839913799</v>
      </c>
      <c r="G30" s="46">
        <v>4.0530651549525801E-3</v>
      </c>
      <c r="H30" s="46">
        <v>0.44420964442866301</v>
      </c>
      <c r="I30" s="46">
        <v>4.0996263360021197E-3</v>
      </c>
      <c r="J30" s="46">
        <v>-8.1603016029524494E-2</v>
      </c>
      <c r="K30" s="46">
        <v>5.7644053992317E-3</v>
      </c>
      <c r="L30" s="5">
        <v>1.70597359855673E-45</v>
      </c>
      <c r="M30" s="157"/>
      <c r="N30" s="373">
        <v>2821</v>
      </c>
      <c r="O30" s="46">
        <v>6.0851385372498797E-2</v>
      </c>
      <c r="P30" s="46">
        <v>9.8960641153329992E-4</v>
      </c>
      <c r="Q30" s="46">
        <v>5.5258767033297303E-2</v>
      </c>
      <c r="R30" s="46">
        <v>1.4278144922400099E-3</v>
      </c>
      <c r="S30" s="46">
        <v>6.7171485302485096E-2</v>
      </c>
      <c r="T30" s="46">
        <v>1.4649163694589601E-3</v>
      </c>
      <c r="U30" s="46">
        <v>-1.19127182691878E-2</v>
      </c>
      <c r="V30" s="46">
        <v>2.0455733878220099E-3</v>
      </c>
      <c r="W30" s="5">
        <v>5.7573594936455798E-9</v>
      </c>
    </row>
    <row r="31" spans="1:23" x14ac:dyDescent="0.25">
      <c r="A31" s="1464" t="s">
        <v>2232</v>
      </c>
      <c r="B31" s="1464"/>
      <c r="C31" s="1464"/>
      <c r="D31" s="1464"/>
      <c r="E31" s="1464"/>
      <c r="F31" s="1464"/>
      <c r="G31" s="1464"/>
      <c r="H31" s="1464"/>
      <c r="I31" s="1464"/>
      <c r="J31" s="1464"/>
      <c r="K31" s="1464"/>
      <c r="L31" s="1464"/>
      <c r="M31" s="1464"/>
      <c r="N31" s="1464"/>
      <c r="O31" s="1464"/>
      <c r="P31" s="1464"/>
      <c r="Q31" s="1464"/>
      <c r="R31" s="1464"/>
      <c r="S31" s="1464"/>
      <c r="T31" s="1464"/>
      <c r="U31" s="1464"/>
      <c r="V31" s="1464"/>
      <c r="W31" s="1464"/>
    </row>
    <row r="32" spans="1:23" ht="14.25" customHeight="1" x14ac:dyDescent="0.25">
      <c r="B32" s="157"/>
      <c r="C32" s="1465" t="s">
        <v>2223</v>
      </c>
      <c r="D32" s="1465"/>
      <c r="E32" s="1465"/>
      <c r="F32" s="1465"/>
      <c r="G32" s="1465"/>
      <c r="H32" s="1465"/>
      <c r="I32" s="1465"/>
      <c r="J32" s="1465"/>
      <c r="K32" s="1465"/>
      <c r="L32" s="1465"/>
      <c r="M32" s="157"/>
      <c r="N32" s="1465" t="s">
        <v>2224</v>
      </c>
      <c r="O32" s="1465"/>
      <c r="P32" s="1465"/>
      <c r="Q32" s="1465"/>
      <c r="R32" s="1465"/>
      <c r="S32" s="1465"/>
      <c r="T32" s="1465"/>
      <c r="U32" s="1465"/>
      <c r="V32" s="1465"/>
      <c r="W32" s="1465"/>
    </row>
    <row r="33" spans="1:23" ht="14.25" customHeight="1" x14ac:dyDescent="0.25">
      <c r="A33" s="1410" t="s">
        <v>2233</v>
      </c>
      <c r="B33" s="158"/>
      <c r="C33" s="1310" t="s">
        <v>2226</v>
      </c>
      <c r="D33" s="1410" t="s">
        <v>1064</v>
      </c>
      <c r="E33" s="1410"/>
      <c r="F33" s="1310" t="s">
        <v>239</v>
      </c>
      <c r="G33" s="1310"/>
      <c r="H33" s="1310" t="s">
        <v>240</v>
      </c>
      <c r="I33" s="1310"/>
      <c r="J33" s="1410" t="s">
        <v>2227</v>
      </c>
      <c r="K33" s="1410" t="s">
        <v>2228</v>
      </c>
      <c r="L33" s="1310" t="s">
        <v>2229</v>
      </c>
      <c r="M33" s="157"/>
      <c r="N33" s="1310" t="s">
        <v>2226</v>
      </c>
      <c r="O33" s="1410" t="s">
        <v>1064</v>
      </c>
      <c r="P33" s="1410"/>
      <c r="Q33" s="1310" t="s">
        <v>239</v>
      </c>
      <c r="R33" s="1310"/>
      <c r="S33" s="1310" t="s">
        <v>240</v>
      </c>
      <c r="T33" s="1310"/>
      <c r="U33" s="1410" t="s">
        <v>2227</v>
      </c>
      <c r="V33" s="1410" t="s">
        <v>2228</v>
      </c>
      <c r="W33" s="1310" t="s">
        <v>2229</v>
      </c>
    </row>
    <row r="34" spans="1:23" ht="30.75" thickBot="1" x14ac:dyDescent="0.3">
      <c r="A34" s="1424"/>
      <c r="B34" s="372"/>
      <c r="C34" s="1419"/>
      <c r="D34" s="832" t="s">
        <v>2230</v>
      </c>
      <c r="E34" s="832" t="s">
        <v>2231</v>
      </c>
      <c r="F34" s="832" t="s">
        <v>2230</v>
      </c>
      <c r="G34" s="832" t="s">
        <v>2231</v>
      </c>
      <c r="H34" s="832" t="s">
        <v>2230</v>
      </c>
      <c r="I34" s="832" t="s">
        <v>2231</v>
      </c>
      <c r="J34" s="1424"/>
      <c r="K34" s="1424"/>
      <c r="L34" s="1419"/>
      <c r="M34" s="157"/>
      <c r="N34" s="1419"/>
      <c r="O34" s="832" t="s">
        <v>2230</v>
      </c>
      <c r="P34" s="832" t="s">
        <v>2231</v>
      </c>
      <c r="Q34" s="832" t="s">
        <v>2230</v>
      </c>
      <c r="R34" s="832" t="s">
        <v>2231</v>
      </c>
      <c r="S34" s="832" t="s">
        <v>2230</v>
      </c>
      <c r="T34" s="832" t="s">
        <v>2231</v>
      </c>
      <c r="U34" s="1424"/>
      <c r="V34" s="1424"/>
      <c r="W34" s="1419"/>
    </row>
    <row r="35" spans="1:23" ht="15.75" thickTop="1" x14ac:dyDescent="0.25">
      <c r="A35" s="1">
        <v>2.5000000000000001E-3</v>
      </c>
      <c r="B35" s="157"/>
      <c r="C35" s="373">
        <v>185383</v>
      </c>
      <c r="D35" s="46">
        <v>2.4028405426393999E-2</v>
      </c>
      <c r="E35" s="46">
        <v>2.2218738665589202E-3</v>
      </c>
      <c r="F35" s="46">
        <v>1.5639774446334999E-2</v>
      </c>
      <c r="G35" s="46">
        <v>4.5486179765875804E-3</v>
      </c>
      <c r="H35" s="46">
        <v>3.2453096992108701E-2</v>
      </c>
      <c r="I35" s="46">
        <v>4.2014479695648699E-3</v>
      </c>
      <c r="J35" s="46">
        <v>-1.6813322545773599E-2</v>
      </c>
      <c r="K35" s="46">
        <v>6.1915101074631598E-3</v>
      </c>
      <c r="L35" s="5">
        <v>6.6166840702788499E-3</v>
      </c>
      <c r="M35" s="157"/>
      <c r="N35" s="373">
        <v>3078</v>
      </c>
      <c r="O35" s="46">
        <v>5.1771987206786198E-2</v>
      </c>
      <c r="P35" s="46">
        <v>9.08208360663147E-4</v>
      </c>
      <c r="Q35" s="46">
        <v>4.6528180858235201E-2</v>
      </c>
      <c r="R35" s="46">
        <v>1.32465716678972E-3</v>
      </c>
      <c r="S35" s="46">
        <v>5.6105396486438502E-2</v>
      </c>
      <c r="T35" s="46">
        <v>1.3498735562957199E-3</v>
      </c>
      <c r="U35" s="46">
        <v>-9.5772156282033193E-3</v>
      </c>
      <c r="V35" s="46">
        <v>1.8912077615927999E-3</v>
      </c>
      <c r="W35" s="5">
        <v>4.1039071020436199E-7</v>
      </c>
    </row>
    <row r="36" spans="1:23" x14ac:dyDescent="0.25">
      <c r="A36" s="1">
        <v>5.0000000000000001E-3</v>
      </c>
      <c r="B36" s="157"/>
      <c r="C36" s="373">
        <v>196020</v>
      </c>
      <c r="D36" s="46">
        <v>2.8045120323922101E-2</v>
      </c>
      <c r="E36" s="46">
        <v>2.3123082299836002E-3</v>
      </c>
      <c r="F36" s="46">
        <v>1.95013345513197E-2</v>
      </c>
      <c r="G36" s="46">
        <v>4.7088944478881302E-3</v>
      </c>
      <c r="H36" s="46">
        <v>3.5174219086900202E-2</v>
      </c>
      <c r="I36" s="46">
        <v>4.3416553637834303E-3</v>
      </c>
      <c r="J36" s="46">
        <v>-1.5672884535580502E-2</v>
      </c>
      <c r="K36" s="46">
        <v>6.40434133586789E-3</v>
      </c>
      <c r="L36" s="5">
        <v>1.43959670804139E-2</v>
      </c>
      <c r="M36" s="157"/>
      <c r="N36" s="373">
        <v>3084</v>
      </c>
      <c r="O36" s="46">
        <v>5.3178047799437397E-2</v>
      </c>
      <c r="P36" s="46">
        <v>9.27190229535273E-4</v>
      </c>
      <c r="Q36" s="46">
        <v>4.8152865683747798E-2</v>
      </c>
      <c r="R36" s="46">
        <v>1.36396428970477E-3</v>
      </c>
      <c r="S36" s="46">
        <v>5.70664721665241E-2</v>
      </c>
      <c r="T36" s="46">
        <v>1.3638788196971201E-3</v>
      </c>
      <c r="U36" s="46">
        <v>-8.9136064827762297E-3</v>
      </c>
      <c r="V36" s="46">
        <v>1.9288190336065501E-3</v>
      </c>
      <c r="W36" s="5">
        <v>3.8138567074081299E-6</v>
      </c>
    </row>
    <row r="37" spans="1:23" x14ac:dyDescent="0.25">
      <c r="A37" s="1">
        <v>7.4999999999999997E-3</v>
      </c>
      <c r="B37" s="157"/>
      <c r="C37" s="373">
        <v>200423</v>
      </c>
      <c r="D37" s="46">
        <v>2.9029929680600301E-2</v>
      </c>
      <c r="E37" s="46">
        <v>2.3425150729157202E-3</v>
      </c>
      <c r="F37" s="46">
        <v>1.9896908133885401E-2</v>
      </c>
      <c r="G37" s="46">
        <v>4.7639978510626299E-3</v>
      </c>
      <c r="H37" s="46">
        <v>3.7146093799634898E-2</v>
      </c>
      <c r="I37" s="46">
        <v>4.3997723958487502E-3</v>
      </c>
      <c r="J37" s="46">
        <v>-1.7249185665749601E-2</v>
      </c>
      <c r="K37" s="46">
        <v>6.48423437539192E-3</v>
      </c>
      <c r="L37" s="5">
        <v>7.8100508003317902E-3</v>
      </c>
      <c r="M37" s="157"/>
      <c r="N37" s="373">
        <v>3094</v>
      </c>
      <c r="O37" s="46">
        <v>5.3736633582679598E-2</v>
      </c>
      <c r="P37" s="46">
        <v>9.3482551135435005E-4</v>
      </c>
      <c r="Q37" s="46">
        <v>4.8666457218829097E-2</v>
      </c>
      <c r="R37" s="46">
        <v>1.37717631877083E-3</v>
      </c>
      <c r="S37" s="46">
        <v>5.7759686369267503E-2</v>
      </c>
      <c r="T37" s="46">
        <v>1.3727763096694401E-3</v>
      </c>
      <c r="U37" s="46">
        <v>-9.0932291504384095E-3</v>
      </c>
      <c r="V37" s="46">
        <v>1.94445437964924E-3</v>
      </c>
      <c r="W37" s="5">
        <v>2.9182119946640501E-6</v>
      </c>
    </row>
    <row r="38" spans="1:23" x14ac:dyDescent="0.25">
      <c r="A38" s="1">
        <v>0.01</v>
      </c>
      <c r="B38" s="157"/>
      <c r="C38" s="373">
        <v>202963</v>
      </c>
      <c r="D38" s="46">
        <v>3.08087706810499E-2</v>
      </c>
      <c r="E38" s="46">
        <v>2.36773206090901E-3</v>
      </c>
      <c r="F38" s="46">
        <v>2.1636598680387101E-2</v>
      </c>
      <c r="G38" s="46">
        <v>4.8057666509075496E-3</v>
      </c>
      <c r="H38" s="46">
        <v>3.9015255483291301E-2</v>
      </c>
      <c r="I38" s="46">
        <v>4.44089435399101E-3</v>
      </c>
      <c r="J38" s="46">
        <v>-1.7378656802904201E-2</v>
      </c>
      <c r="K38" s="46">
        <v>6.5428074292467999E-3</v>
      </c>
      <c r="L38" s="5">
        <v>7.9039206704026206E-3</v>
      </c>
      <c r="M38" s="157"/>
      <c r="N38" s="373">
        <v>3100</v>
      </c>
      <c r="O38" s="46">
        <v>5.4327518532405701E-2</v>
      </c>
      <c r="P38" s="46">
        <v>9.4396226418144702E-4</v>
      </c>
      <c r="Q38" s="46">
        <v>4.9262150910154102E-2</v>
      </c>
      <c r="R38" s="46">
        <v>1.3847900349132E-3</v>
      </c>
      <c r="S38" s="46">
        <v>5.8087003861583102E-2</v>
      </c>
      <c r="T38" s="46">
        <v>1.37615450340068E-3</v>
      </c>
      <c r="U38" s="46">
        <v>-8.8248529514289593E-3</v>
      </c>
      <c r="V38" s="46">
        <v>1.9522334276954E-3</v>
      </c>
      <c r="W38" s="5">
        <v>6.1726336487295199E-6</v>
      </c>
    </row>
    <row r="39" spans="1:23" x14ac:dyDescent="0.25">
      <c r="A39" s="1">
        <v>1.2500000000000001E-2</v>
      </c>
      <c r="B39" s="157"/>
      <c r="C39" s="373">
        <v>204705</v>
      </c>
      <c r="D39" s="46">
        <v>3.1290446532301099E-2</v>
      </c>
      <c r="E39" s="46">
        <v>2.3800342562721598E-3</v>
      </c>
      <c r="F39" s="46">
        <v>2.1821572054373801E-2</v>
      </c>
      <c r="G39" s="46">
        <v>4.8316926047922296E-3</v>
      </c>
      <c r="H39" s="46">
        <v>3.98083332602749E-2</v>
      </c>
      <c r="I39" s="46">
        <v>4.4659135858708503E-3</v>
      </c>
      <c r="J39" s="46">
        <v>-1.7986761205901199E-2</v>
      </c>
      <c r="K39" s="46">
        <v>6.5788211551697697E-3</v>
      </c>
      <c r="L39" s="5">
        <v>6.25624144085215E-3</v>
      </c>
      <c r="M39" s="157"/>
      <c r="N39" s="373">
        <v>3100</v>
      </c>
      <c r="O39" s="46">
        <v>5.4721239327415502E-2</v>
      </c>
      <c r="P39" s="46">
        <v>9.4527274453232602E-4</v>
      </c>
      <c r="Q39" s="46">
        <v>4.9310109998358102E-2</v>
      </c>
      <c r="R39" s="46">
        <v>1.3836944307679001E-3</v>
      </c>
      <c r="S39" s="46">
        <v>5.8806750115475898E-2</v>
      </c>
      <c r="T39" s="46">
        <v>1.3811477919760599E-3</v>
      </c>
      <c r="U39" s="46">
        <v>-9.4966401171178196E-3</v>
      </c>
      <c r="V39" s="46">
        <v>1.9549806202821401E-3</v>
      </c>
      <c r="W39" s="5">
        <v>1.187783976466E-6</v>
      </c>
    </row>
    <row r="40" spans="1:23" x14ac:dyDescent="0.25">
      <c r="A40" s="1">
        <v>1.4999999999999999E-2</v>
      </c>
      <c r="B40" s="157"/>
      <c r="C40" s="373">
        <v>205906</v>
      </c>
      <c r="D40" s="46">
        <v>3.1911903105470499E-2</v>
      </c>
      <c r="E40" s="46">
        <v>2.3909440611503299E-3</v>
      </c>
      <c r="F40" s="46">
        <v>2.2510471049049598E-2</v>
      </c>
      <c r="G40" s="46">
        <v>4.8509132499212704E-3</v>
      </c>
      <c r="H40" s="46">
        <v>4.1029693129032797E-2</v>
      </c>
      <c r="I40" s="46">
        <v>4.4877294842650302E-3</v>
      </c>
      <c r="J40" s="46">
        <v>-1.8519222079983199E-2</v>
      </c>
      <c r="K40" s="46">
        <v>6.6077385667918298E-3</v>
      </c>
      <c r="L40" s="5">
        <v>5.0683604235327801E-3</v>
      </c>
      <c r="M40" s="157"/>
      <c r="N40" s="373">
        <v>3106</v>
      </c>
      <c r="O40" s="46">
        <v>5.4949053621851901E-2</v>
      </c>
      <c r="P40" s="46">
        <v>9.4928236029677199E-4</v>
      </c>
      <c r="Q40" s="46">
        <v>4.9488939739521502E-2</v>
      </c>
      <c r="R40" s="46">
        <v>1.3870957274863701E-3</v>
      </c>
      <c r="S40" s="46">
        <v>5.9389872716736798E-2</v>
      </c>
      <c r="T40" s="46">
        <v>1.3967542108742001E-3</v>
      </c>
      <c r="U40" s="46">
        <v>-9.9009329772152804E-3</v>
      </c>
      <c r="V40" s="46">
        <v>1.9684313111701002E-3</v>
      </c>
      <c r="W40" s="5">
        <v>4.9083931715607104E-7</v>
      </c>
    </row>
    <row r="41" spans="1:23" x14ac:dyDescent="0.25">
      <c r="A41" s="1">
        <v>1.7500000000000002E-2</v>
      </c>
      <c r="B41" s="157"/>
      <c r="C41" s="373">
        <v>206862</v>
      </c>
      <c r="D41" s="46">
        <v>3.2252375401980303E-2</v>
      </c>
      <c r="E41" s="46">
        <v>2.39642459754666E-3</v>
      </c>
      <c r="F41" s="46">
        <v>2.30881832037035E-2</v>
      </c>
      <c r="G41" s="46">
        <v>4.8630084630726499E-3</v>
      </c>
      <c r="H41" s="46">
        <v>4.1533845372556402E-2</v>
      </c>
      <c r="I41" s="46">
        <v>4.4989268424778499E-3</v>
      </c>
      <c r="J41" s="46">
        <v>-1.8445662168852898E-2</v>
      </c>
      <c r="K41" s="46">
        <v>6.6242177819356802E-3</v>
      </c>
      <c r="L41" s="5">
        <v>5.3597152117067096E-3</v>
      </c>
      <c r="M41" s="157"/>
      <c r="N41" s="373">
        <v>3106</v>
      </c>
      <c r="O41" s="46">
        <v>5.5097186681196397E-2</v>
      </c>
      <c r="P41" s="46">
        <v>9.5021117077551305E-4</v>
      </c>
      <c r="Q41" s="46">
        <v>4.9531474209687398E-2</v>
      </c>
      <c r="R41" s="46">
        <v>1.3872131327474101E-3</v>
      </c>
      <c r="S41" s="46">
        <v>5.9461846922429701E-2</v>
      </c>
      <c r="T41" s="46">
        <v>1.3962915545578699E-3</v>
      </c>
      <c r="U41" s="46">
        <v>-9.9303727127422609E-3</v>
      </c>
      <c r="V41" s="46">
        <v>1.9681858175142702E-3</v>
      </c>
      <c r="W41" s="5">
        <v>4.5246773689178098E-7</v>
      </c>
    </row>
    <row r="42" spans="1:23" x14ac:dyDescent="0.25">
      <c r="A42" s="1">
        <v>0.02</v>
      </c>
      <c r="B42" s="157"/>
      <c r="C42" s="373">
        <v>207595</v>
      </c>
      <c r="D42" s="46">
        <v>3.2600025615987203E-2</v>
      </c>
      <c r="E42" s="46">
        <v>2.4024972049253501E-3</v>
      </c>
      <c r="F42" s="46">
        <v>2.4202404191973701E-2</v>
      </c>
      <c r="G42" s="46">
        <v>4.87762427310281E-3</v>
      </c>
      <c r="H42" s="46">
        <v>4.1690816550644903E-2</v>
      </c>
      <c r="I42" s="46">
        <v>4.5102633185058697E-3</v>
      </c>
      <c r="J42" s="46">
        <v>-1.7488412358671199E-2</v>
      </c>
      <c r="K42" s="46">
        <v>6.6426415318539501E-3</v>
      </c>
      <c r="L42" s="5">
        <v>8.4696744783706607E-3</v>
      </c>
      <c r="M42" s="157"/>
      <c r="N42" s="373">
        <v>3105</v>
      </c>
      <c r="O42" s="46">
        <v>5.51705507913752E-2</v>
      </c>
      <c r="P42" s="46">
        <v>9.5088775533108401E-4</v>
      </c>
      <c r="Q42" s="46">
        <v>4.9930948332624001E-2</v>
      </c>
      <c r="R42" s="46">
        <v>1.3917030160212601E-3</v>
      </c>
      <c r="S42" s="46">
        <v>5.93578843474925E-2</v>
      </c>
      <c r="T42" s="46">
        <v>1.3955123657168099E-3</v>
      </c>
      <c r="U42" s="46">
        <v>-9.4269360148684696E-3</v>
      </c>
      <c r="V42" s="46">
        <v>1.9708008871889E-3</v>
      </c>
      <c r="W42" s="5">
        <v>1.7243866302036099E-6</v>
      </c>
    </row>
    <row r="43" spans="1:23" x14ac:dyDescent="0.25">
      <c r="A43" s="1">
        <v>2.2499999999999999E-2</v>
      </c>
      <c r="B43" s="157"/>
      <c r="C43" s="373">
        <v>208314</v>
      </c>
      <c r="D43" s="46">
        <v>3.2872502004071401E-2</v>
      </c>
      <c r="E43" s="46">
        <v>2.4085022753490399E-3</v>
      </c>
      <c r="F43" s="46">
        <v>2.4547730616761999E-2</v>
      </c>
      <c r="G43" s="46">
        <v>4.8880344377270598E-3</v>
      </c>
      <c r="H43" s="46">
        <v>4.1967580844187197E-2</v>
      </c>
      <c r="I43" s="46">
        <v>4.5215491592617597E-3</v>
      </c>
      <c r="J43" s="46">
        <v>-1.7419850227425201E-2</v>
      </c>
      <c r="K43" s="46">
        <v>6.65794394505634E-3</v>
      </c>
      <c r="L43" s="5">
        <v>8.8862166938675508E-3</v>
      </c>
      <c r="M43" s="157"/>
      <c r="N43" s="373">
        <v>3105</v>
      </c>
      <c r="O43" s="46">
        <v>5.5229317645194599E-2</v>
      </c>
      <c r="P43" s="46">
        <v>9.5134486297774397E-4</v>
      </c>
      <c r="Q43" s="46">
        <v>4.9870528034933199E-2</v>
      </c>
      <c r="R43" s="46">
        <v>1.39118491643674E-3</v>
      </c>
      <c r="S43" s="46">
        <v>5.9458597161090698E-2</v>
      </c>
      <c r="T43" s="46">
        <v>1.39623981099387E-3</v>
      </c>
      <c r="U43" s="46">
        <v>-9.58806912615753E-3</v>
      </c>
      <c r="V43" s="46">
        <v>1.9709503083044301E-3</v>
      </c>
      <c r="W43" s="5">
        <v>1.1463431795030799E-6</v>
      </c>
    </row>
    <row r="44" spans="1:23" x14ac:dyDescent="0.25">
      <c r="A44" s="1">
        <v>2.5000000000000001E-2</v>
      </c>
      <c r="B44" s="157"/>
      <c r="C44" s="373">
        <v>208909</v>
      </c>
      <c r="D44" s="46">
        <v>3.3122009779121601E-2</v>
      </c>
      <c r="E44" s="46">
        <v>2.41649301262467E-3</v>
      </c>
      <c r="F44" s="46">
        <v>2.4649714440838199E-2</v>
      </c>
      <c r="G44" s="46">
        <v>4.90150907459601E-3</v>
      </c>
      <c r="H44" s="46">
        <v>4.30980826705952E-2</v>
      </c>
      <c r="I44" s="46">
        <v>4.5372775780106499E-3</v>
      </c>
      <c r="J44" s="46">
        <v>-1.8448368229757098E-2</v>
      </c>
      <c r="K44" s="46">
        <v>6.67851213253297E-3</v>
      </c>
      <c r="L44" s="5">
        <v>5.7387444115622899E-3</v>
      </c>
      <c r="M44" s="157"/>
      <c r="N44" s="373">
        <v>3103</v>
      </c>
      <c r="O44" s="46">
        <v>5.5293360263549203E-2</v>
      </c>
      <c r="P44" s="46">
        <v>9.5165601552501004E-4</v>
      </c>
      <c r="Q44" s="46">
        <v>4.9836804445799E-2</v>
      </c>
      <c r="R44" s="46">
        <v>1.3906698352772601E-3</v>
      </c>
      <c r="S44" s="46">
        <v>5.96734158933779E-2</v>
      </c>
      <c r="T44" s="46">
        <v>1.3977760049724199E-3</v>
      </c>
      <c r="U44" s="46">
        <v>-9.8366114475789308E-3</v>
      </c>
      <c r="V44" s="46">
        <v>1.9716754621567599E-3</v>
      </c>
      <c r="W44" s="5">
        <v>6.0704985272520903E-7</v>
      </c>
    </row>
    <row r="45" spans="1:23" x14ac:dyDescent="0.25">
      <c r="A45" s="1">
        <v>2.75E-2</v>
      </c>
      <c r="B45" s="157"/>
      <c r="C45" s="373">
        <v>209394</v>
      </c>
      <c r="D45" s="46">
        <v>3.35989165464506E-2</v>
      </c>
      <c r="E45" s="46">
        <v>2.4218488332386299E-3</v>
      </c>
      <c r="F45" s="46">
        <v>2.5253589780964002E-2</v>
      </c>
      <c r="G45" s="46">
        <v>4.91173951918966E-3</v>
      </c>
      <c r="H45" s="46">
        <v>4.3614309665887502E-2</v>
      </c>
      <c r="I45" s="46">
        <v>4.5462586139048003E-3</v>
      </c>
      <c r="J45" s="46">
        <v>-1.83607198849235E-2</v>
      </c>
      <c r="K45" s="46">
        <v>6.6921178838523403E-3</v>
      </c>
      <c r="L45" s="5">
        <v>6.07633058697818E-3</v>
      </c>
      <c r="M45" s="157"/>
      <c r="N45" s="373">
        <v>3102</v>
      </c>
      <c r="O45" s="46">
        <v>5.5303463422639101E-2</v>
      </c>
      <c r="P45" s="46">
        <v>9.5168324823710604E-4</v>
      </c>
      <c r="Q45" s="46">
        <v>4.98455027210669E-2</v>
      </c>
      <c r="R45" s="46">
        <v>1.3906148610946399E-3</v>
      </c>
      <c r="S45" s="46">
        <v>5.9705536186736297E-2</v>
      </c>
      <c r="T45" s="46">
        <v>1.3980461989997999E-3</v>
      </c>
      <c r="U45" s="46">
        <v>-9.8600334656693996E-3</v>
      </c>
      <c r="V45" s="46">
        <v>1.9718282351792698E-3</v>
      </c>
      <c r="W45" s="5">
        <v>5.7195912715604798E-7</v>
      </c>
    </row>
    <row r="46" spans="1:23" x14ac:dyDescent="0.25">
      <c r="A46" s="1">
        <v>0.03</v>
      </c>
      <c r="B46" s="157"/>
      <c r="C46" s="373">
        <v>209882</v>
      </c>
      <c r="D46" s="46">
        <v>3.4002593163087701E-2</v>
      </c>
      <c r="E46" s="46">
        <v>2.4264449091475002E-3</v>
      </c>
      <c r="F46" s="46">
        <v>2.5861537051502601E-2</v>
      </c>
      <c r="G46" s="46">
        <v>4.9213252486510796E-3</v>
      </c>
      <c r="H46" s="46">
        <v>4.4108286496146697E-2</v>
      </c>
      <c r="I46" s="46">
        <v>4.5544816341256903E-3</v>
      </c>
      <c r="J46" s="46">
        <v>-1.8246749444644099E-2</v>
      </c>
      <c r="K46" s="46">
        <v>6.70473581434576E-3</v>
      </c>
      <c r="L46" s="5">
        <v>6.4991929993455898E-3</v>
      </c>
      <c r="M46" s="157"/>
      <c r="N46" s="373">
        <v>3102</v>
      </c>
      <c r="O46" s="46">
        <v>5.5330998671782997E-2</v>
      </c>
      <c r="P46" s="46">
        <v>9.5161227102857101E-4</v>
      </c>
      <c r="Q46" s="46">
        <v>4.9872225256919603E-2</v>
      </c>
      <c r="R46" s="46">
        <v>1.39041424336843E-3</v>
      </c>
      <c r="S46" s="46">
        <v>5.9746021010485699E-2</v>
      </c>
      <c r="T46" s="46">
        <v>1.3981545454826499E-3</v>
      </c>
      <c r="U46" s="46">
        <v>-9.8737957535660996E-3</v>
      </c>
      <c r="V46" s="46">
        <v>1.9717635880994802E-3</v>
      </c>
      <c r="W46" s="5">
        <v>5.5114021491959104E-7</v>
      </c>
    </row>
    <row r="47" spans="1:23" x14ac:dyDescent="0.25">
      <c r="A47" s="1">
        <v>3.2500000000000001E-2</v>
      </c>
      <c r="B47" s="157"/>
      <c r="C47" s="373">
        <v>210312</v>
      </c>
      <c r="D47" s="46">
        <v>3.44597543585402E-2</v>
      </c>
      <c r="E47" s="46">
        <v>2.4335742200150799E-3</v>
      </c>
      <c r="F47" s="46">
        <v>2.6455603212254701E-2</v>
      </c>
      <c r="G47" s="46">
        <v>4.9336992185297097E-3</v>
      </c>
      <c r="H47" s="46">
        <v>4.45131096081346E-2</v>
      </c>
      <c r="I47" s="46">
        <v>4.5649449009228203E-3</v>
      </c>
      <c r="J47" s="46">
        <v>-1.8057506395879799E-2</v>
      </c>
      <c r="K47" s="46">
        <v>6.7209210690255504E-3</v>
      </c>
      <c r="L47" s="5">
        <v>7.2148627701798104E-3</v>
      </c>
      <c r="M47" s="157"/>
      <c r="N47" s="373">
        <v>3102</v>
      </c>
      <c r="O47" s="46">
        <v>5.5330209234588097E-2</v>
      </c>
      <c r="P47" s="46">
        <v>9.5157359196943998E-4</v>
      </c>
      <c r="Q47" s="46">
        <v>4.9844255547226199E-2</v>
      </c>
      <c r="R47" s="46">
        <v>1.3900798304110301E-3</v>
      </c>
      <c r="S47" s="46">
        <v>5.9760492895739502E-2</v>
      </c>
      <c r="T47" s="46">
        <v>1.39823830519555E-3</v>
      </c>
      <c r="U47" s="46">
        <v>-9.9162373485132994E-3</v>
      </c>
      <c r="V47" s="46">
        <v>1.9715872039993199E-3</v>
      </c>
      <c r="W47" s="5">
        <v>4.91579070583716E-7</v>
      </c>
    </row>
    <row r="48" spans="1:23" x14ac:dyDescent="0.25">
      <c r="A48" s="1">
        <v>3.5000000000000003E-2</v>
      </c>
      <c r="B48" s="157"/>
      <c r="C48" s="373">
        <v>210660</v>
      </c>
      <c r="D48" s="46">
        <v>3.4900111244257702E-2</v>
      </c>
      <c r="E48" s="46">
        <v>2.43877368224879E-3</v>
      </c>
      <c r="F48" s="46">
        <v>2.67690065319185E-2</v>
      </c>
      <c r="G48" s="46">
        <v>4.9402923501105298E-3</v>
      </c>
      <c r="H48" s="46">
        <v>4.4891463090400999E-2</v>
      </c>
      <c r="I48" s="46">
        <v>4.5728805160271399E-3</v>
      </c>
      <c r="J48" s="46">
        <v>-1.8122456558482498E-2</v>
      </c>
      <c r="K48" s="46">
        <v>6.7311478855619396E-3</v>
      </c>
      <c r="L48" s="5">
        <v>7.0955167532022302E-3</v>
      </c>
      <c r="M48" s="157"/>
      <c r="N48" s="373">
        <v>3101</v>
      </c>
      <c r="O48" s="46">
        <v>5.5457683569489498E-2</v>
      </c>
      <c r="P48" s="46">
        <v>9.5598510922583803E-4</v>
      </c>
      <c r="Q48" s="46">
        <v>4.9867450184226697E-2</v>
      </c>
      <c r="R48" s="46">
        <v>1.3908112331408699E-3</v>
      </c>
      <c r="S48" s="46">
        <v>5.9912433156043797E-2</v>
      </c>
      <c r="T48" s="46">
        <v>1.4062963899439201E-3</v>
      </c>
      <c r="U48" s="46">
        <v>-1.0044982971817201E-2</v>
      </c>
      <c r="V48" s="46">
        <v>1.97782380270472E-3</v>
      </c>
      <c r="W48" s="5">
        <v>3.7981473025661198E-7</v>
      </c>
    </row>
    <row r="49" spans="1:23" x14ac:dyDescent="0.25">
      <c r="A49" s="1">
        <v>3.7499999999999999E-2</v>
      </c>
      <c r="B49" s="157"/>
      <c r="C49" s="373">
        <v>210992</v>
      </c>
      <c r="D49" s="46">
        <v>3.5311503654621601E-2</v>
      </c>
      <c r="E49" s="46">
        <v>2.4424445301532999E-3</v>
      </c>
      <c r="F49" s="46">
        <v>2.7227847001555099E-2</v>
      </c>
      <c r="G49" s="46">
        <v>4.9468682163459803E-3</v>
      </c>
      <c r="H49" s="46">
        <v>4.5368905366268197E-2</v>
      </c>
      <c r="I49" s="46">
        <v>4.5796951140429504E-3</v>
      </c>
      <c r="J49" s="46">
        <v>-1.8141058364713102E-2</v>
      </c>
      <c r="K49" s="46">
        <v>6.7406008607156197E-3</v>
      </c>
      <c r="L49" s="5">
        <v>7.1171650621763404E-3</v>
      </c>
      <c r="M49" s="157"/>
      <c r="N49" s="373">
        <v>3103</v>
      </c>
      <c r="O49" s="46">
        <v>5.5515357359928401E-2</v>
      </c>
      <c r="P49" s="46">
        <v>9.5647058612534505E-4</v>
      </c>
      <c r="Q49" s="46">
        <v>5.0051879115246001E-2</v>
      </c>
      <c r="R49" s="46">
        <v>1.39287797364394E-3</v>
      </c>
      <c r="S49" s="46">
        <v>5.9922216420692197E-2</v>
      </c>
      <c r="T49" s="46">
        <v>1.4063845388701699E-3</v>
      </c>
      <c r="U49" s="46">
        <v>-9.8703373054462393E-3</v>
      </c>
      <c r="V49" s="46">
        <v>1.9793401779947201E-3</v>
      </c>
      <c r="W49" s="5">
        <v>6.14254811042888E-7</v>
      </c>
    </row>
    <row r="50" spans="1:23" x14ac:dyDescent="0.25">
      <c r="A50" s="1">
        <v>0.04</v>
      </c>
      <c r="B50" s="157"/>
      <c r="C50" s="373">
        <v>211275</v>
      </c>
      <c r="D50" s="46">
        <v>3.5477777548535899E-2</v>
      </c>
      <c r="E50" s="46">
        <v>2.44605239553222E-3</v>
      </c>
      <c r="F50" s="46">
        <v>2.7223895720258601E-2</v>
      </c>
      <c r="G50" s="46">
        <v>4.9546711338705404E-3</v>
      </c>
      <c r="H50" s="46">
        <v>4.5744857289804097E-2</v>
      </c>
      <c r="I50" s="46">
        <v>4.5866634399261497E-3</v>
      </c>
      <c r="J50" s="46">
        <v>-1.85209615695455E-2</v>
      </c>
      <c r="K50" s="46">
        <v>6.7510585237957098E-3</v>
      </c>
      <c r="L50" s="5">
        <v>6.0803613407284501E-3</v>
      </c>
      <c r="M50" s="157"/>
      <c r="N50" s="373">
        <v>3104</v>
      </c>
      <c r="O50" s="46">
        <v>5.56433688625401E-2</v>
      </c>
      <c r="P50" s="46">
        <v>9.57446864906472E-4</v>
      </c>
      <c r="Q50" s="46">
        <v>5.0243407087507602E-2</v>
      </c>
      <c r="R50" s="46">
        <v>1.3947858630747299E-3</v>
      </c>
      <c r="S50" s="46">
        <v>5.9999192499875002E-2</v>
      </c>
      <c r="T50" s="46">
        <v>1.4073028068211299E-3</v>
      </c>
      <c r="U50" s="46">
        <v>-9.7557854123674105E-3</v>
      </c>
      <c r="V50" s="46">
        <v>1.98133517824543E-3</v>
      </c>
      <c r="W50" s="5">
        <v>8.4860477258984395E-7</v>
      </c>
    </row>
    <row r="51" spans="1:23" x14ac:dyDescent="0.25">
      <c r="A51" s="1">
        <v>4.2500000000000003E-2</v>
      </c>
      <c r="B51" s="157"/>
      <c r="C51" s="373">
        <v>211583</v>
      </c>
      <c r="D51" s="46">
        <v>3.5793245147023603E-2</v>
      </c>
      <c r="E51" s="46">
        <v>2.4498922058117699E-3</v>
      </c>
      <c r="F51" s="46">
        <v>2.7641542407536902E-2</v>
      </c>
      <c r="G51" s="46">
        <v>4.9637378903205397E-3</v>
      </c>
      <c r="H51" s="46">
        <v>4.6400751379180899E-2</v>
      </c>
      <c r="I51" s="46">
        <v>4.5955642210791401E-3</v>
      </c>
      <c r="J51" s="46">
        <v>-1.8759208971644001E-2</v>
      </c>
      <c r="K51" s="46">
        <v>6.7637559423002602E-3</v>
      </c>
      <c r="L51" s="5">
        <v>5.54585573448051E-3</v>
      </c>
      <c r="M51" s="157"/>
      <c r="N51" s="373">
        <v>3101</v>
      </c>
      <c r="O51" s="46">
        <v>5.57715824829145E-2</v>
      </c>
      <c r="P51" s="46">
        <v>9.5987389652411599E-4</v>
      </c>
      <c r="Q51" s="46">
        <v>5.0451704701648802E-2</v>
      </c>
      <c r="R51" s="46">
        <v>1.40064290431352E-3</v>
      </c>
      <c r="S51" s="46">
        <v>5.9991254106512702E-2</v>
      </c>
      <c r="T51" s="46">
        <v>1.41097905828765E-3</v>
      </c>
      <c r="U51" s="46">
        <v>-9.5395494048639094E-3</v>
      </c>
      <c r="V51" s="46">
        <v>1.9880694875379101E-3</v>
      </c>
      <c r="W51" s="5">
        <v>1.5993942044058201E-6</v>
      </c>
    </row>
    <row r="52" spans="1:23" x14ac:dyDescent="0.25">
      <c r="A52" s="1">
        <v>4.4999999999999998E-2</v>
      </c>
      <c r="B52" s="157"/>
      <c r="C52" s="373">
        <v>211831</v>
      </c>
      <c r="D52" s="46">
        <v>3.6076214037743297E-2</v>
      </c>
      <c r="E52" s="46">
        <v>2.4520263257218101E-3</v>
      </c>
      <c r="F52" s="46">
        <v>2.8032134456071701E-2</v>
      </c>
      <c r="G52" s="46">
        <v>4.9685022139487403E-3</v>
      </c>
      <c r="H52" s="46">
        <v>4.7078038988182497E-2</v>
      </c>
      <c r="I52" s="46">
        <v>4.6008476720071599E-3</v>
      </c>
      <c r="J52" s="46">
        <v>-1.9045904532110702E-2</v>
      </c>
      <c r="K52" s="46">
        <v>6.7708399472066602E-3</v>
      </c>
      <c r="L52" s="5">
        <v>4.9092207863929696E-3</v>
      </c>
      <c r="M52" s="157"/>
      <c r="N52" s="373">
        <v>3100</v>
      </c>
      <c r="O52" s="46">
        <v>5.5814415851935403E-2</v>
      </c>
      <c r="P52" s="46">
        <v>9.6008786537850604E-4</v>
      </c>
      <c r="Q52" s="46">
        <v>5.0564443743146899E-2</v>
      </c>
      <c r="R52" s="46">
        <v>1.4015832282410199E-3</v>
      </c>
      <c r="S52" s="46">
        <v>6.0043884090373797E-2</v>
      </c>
      <c r="T52" s="46">
        <v>1.4113948946917699E-3</v>
      </c>
      <c r="U52" s="46">
        <v>-9.4794403472268796E-3</v>
      </c>
      <c r="V52" s="46">
        <v>1.98902704422396E-3</v>
      </c>
      <c r="W52" s="5">
        <v>1.8804234022335399E-6</v>
      </c>
    </row>
    <row r="53" spans="1:23" x14ac:dyDescent="0.25">
      <c r="A53" s="1">
        <v>4.7500000000000001E-2</v>
      </c>
      <c r="B53" s="157"/>
      <c r="C53" s="373">
        <v>212077</v>
      </c>
      <c r="D53" s="46">
        <v>3.6624414586936098E-2</v>
      </c>
      <c r="E53" s="46">
        <v>2.4568054338094001E-3</v>
      </c>
      <c r="F53" s="46">
        <v>2.8307397924875698E-2</v>
      </c>
      <c r="G53" s="46">
        <v>4.9726717044357802E-3</v>
      </c>
      <c r="H53" s="46">
        <v>4.8302962270333802E-2</v>
      </c>
      <c r="I53" s="46">
        <v>4.6099755184047901E-3</v>
      </c>
      <c r="J53" s="46">
        <v>-1.99955643454581E-2</v>
      </c>
      <c r="K53" s="46">
        <v>6.7801001590371401E-3</v>
      </c>
      <c r="L53" s="5">
        <v>3.1864441470530898E-3</v>
      </c>
      <c r="M53" s="157"/>
      <c r="N53" s="373">
        <v>3099</v>
      </c>
      <c r="O53" s="46">
        <v>5.5842476168560397E-2</v>
      </c>
      <c r="P53" s="46">
        <v>9.6010471676679396E-4</v>
      </c>
      <c r="Q53" s="46">
        <v>5.0724135946591899E-2</v>
      </c>
      <c r="R53" s="46">
        <v>1.40288030146119E-3</v>
      </c>
      <c r="S53" s="46">
        <v>6.0007842759049301E-2</v>
      </c>
      <c r="T53" s="46">
        <v>1.4108955111302799E-3</v>
      </c>
      <c r="U53" s="46">
        <v>-9.2837068124573194E-3</v>
      </c>
      <c r="V53" s="46">
        <v>1.98958703375885E-3</v>
      </c>
      <c r="W53" s="5">
        <v>3.0689924565660199E-6</v>
      </c>
    </row>
    <row r="54" spans="1:23" x14ac:dyDescent="0.25">
      <c r="A54" s="318">
        <v>0.05</v>
      </c>
      <c r="B54" s="374"/>
      <c r="C54" s="55">
        <v>212308</v>
      </c>
      <c r="D54" s="53">
        <v>3.6755166691355402E-2</v>
      </c>
      <c r="E54" s="53">
        <v>2.4581649652554902E-3</v>
      </c>
      <c r="F54" s="53">
        <v>2.8680147835616201E-2</v>
      </c>
      <c r="G54" s="53">
        <v>4.9755077687000096E-3</v>
      </c>
      <c r="H54" s="53">
        <v>4.8605435736847599E-2</v>
      </c>
      <c r="I54" s="53">
        <v>4.61353707631667E-3</v>
      </c>
      <c r="J54" s="53">
        <v>-1.9925287901231301E-2</v>
      </c>
      <c r="K54" s="53">
        <v>6.7846004068282204E-3</v>
      </c>
      <c r="L54" s="27">
        <v>3.3157480577876799E-3</v>
      </c>
      <c r="M54" s="374"/>
      <c r="N54" s="55">
        <v>3099</v>
      </c>
      <c r="O54" s="53">
        <v>5.5849041934952701E-2</v>
      </c>
      <c r="P54" s="53">
        <v>9.6013529971246501E-4</v>
      </c>
      <c r="Q54" s="53">
        <v>5.07736527948357E-2</v>
      </c>
      <c r="R54" s="53">
        <v>1.40332388709962E-3</v>
      </c>
      <c r="S54" s="53">
        <v>5.9971586519410702E-2</v>
      </c>
      <c r="T54" s="53">
        <v>1.41057180914718E-3</v>
      </c>
      <c r="U54" s="53">
        <v>-9.1979337245750095E-3</v>
      </c>
      <c r="V54" s="53">
        <v>1.9896703272166802E-3</v>
      </c>
      <c r="W54" s="27">
        <v>3.7851604035295E-6</v>
      </c>
    </row>
    <row r="55" spans="1:23" ht="33" customHeight="1" x14ac:dyDescent="0.25">
      <c r="A55" s="1466" t="s">
        <v>2234</v>
      </c>
      <c r="B55" s="1466"/>
      <c r="C55" s="1466"/>
      <c r="D55" s="1466"/>
      <c r="E55" s="1466"/>
      <c r="F55" s="1466"/>
      <c r="G55" s="1466"/>
      <c r="H55" s="1466"/>
      <c r="I55" s="1466"/>
      <c r="J55" s="1466"/>
      <c r="K55" s="1466"/>
      <c r="L55" s="1466"/>
      <c r="M55" s="1466"/>
      <c r="N55" s="1466"/>
      <c r="O55" s="1466"/>
      <c r="P55" s="1466"/>
      <c r="Q55" s="1466"/>
      <c r="R55" s="1466"/>
      <c r="S55" s="1466"/>
      <c r="T55" s="1466"/>
      <c r="U55" s="1466"/>
      <c r="V55" s="1466"/>
      <c r="W55" s="1466"/>
    </row>
    <row r="56" spans="1:23" ht="14.25" customHeight="1" x14ac:dyDescent="0.25">
      <c r="A56" s="375" t="s">
        <v>2235</v>
      </c>
      <c r="B56" s="375"/>
      <c r="C56" s="375"/>
      <c r="D56" s="375"/>
      <c r="E56" s="375"/>
      <c r="F56" s="375"/>
      <c r="G56" s="375"/>
      <c r="H56" s="375"/>
      <c r="I56" s="375"/>
      <c r="J56" s="375"/>
      <c r="K56" s="375"/>
      <c r="L56" s="375"/>
      <c r="M56" s="375"/>
      <c r="N56" s="375"/>
      <c r="O56" s="375"/>
      <c r="P56" s="375"/>
      <c r="Q56" s="46"/>
      <c r="R56" s="46"/>
      <c r="S56" s="46"/>
      <c r="T56" s="46"/>
      <c r="U56" s="46"/>
      <c r="V56" s="46"/>
      <c r="W56" s="5"/>
    </row>
    <row r="57" spans="1:23" x14ac:dyDescent="0.25">
      <c r="A57" s="108" t="s">
        <v>2236</v>
      </c>
      <c r="O57" s="46"/>
      <c r="P57" s="46"/>
      <c r="Q57" s="46"/>
      <c r="R57" s="46"/>
      <c r="S57" s="46"/>
      <c r="T57" s="46"/>
      <c r="U57" s="46"/>
      <c r="V57" s="46"/>
      <c r="W57" s="5"/>
    </row>
    <row r="58" spans="1:23" x14ac:dyDescent="0.25">
      <c r="A58" s="108" t="s">
        <v>2237</v>
      </c>
      <c r="O58" s="46"/>
      <c r="P58" s="46"/>
      <c r="Q58" s="46"/>
      <c r="R58" s="46"/>
      <c r="S58" s="46"/>
      <c r="T58" s="46"/>
      <c r="U58" s="46"/>
      <c r="V58" s="46"/>
      <c r="W58" s="5"/>
    </row>
    <row r="59" spans="1:23" x14ac:dyDescent="0.25">
      <c r="O59" s="46"/>
      <c r="P59" s="46"/>
      <c r="Q59" s="46"/>
      <c r="R59" s="46"/>
      <c r="S59" s="46"/>
      <c r="T59" s="46"/>
      <c r="U59" s="46"/>
      <c r="V59" s="46"/>
      <c r="W59" s="5"/>
    </row>
  </sheetData>
  <mergeCells count="37">
    <mergeCell ref="S33:T33"/>
    <mergeCell ref="U33:U34"/>
    <mergeCell ref="V33:V34"/>
    <mergeCell ref="W33:W34"/>
    <mergeCell ref="A55:W55"/>
    <mergeCell ref="J33:J34"/>
    <mergeCell ref="K33:K34"/>
    <mergeCell ref="L33:L34"/>
    <mergeCell ref="N33:N34"/>
    <mergeCell ref="O33:P33"/>
    <mergeCell ref="Q33:R33"/>
    <mergeCell ref="A33:A34"/>
    <mergeCell ref="C33:C34"/>
    <mergeCell ref="D33:E33"/>
    <mergeCell ref="F33:G33"/>
    <mergeCell ref="H33:I33"/>
    <mergeCell ref="A31:W31"/>
    <mergeCell ref="C32:L32"/>
    <mergeCell ref="N32:W32"/>
    <mergeCell ref="L4:L5"/>
    <mergeCell ref="N4:N5"/>
    <mergeCell ref="O4:P4"/>
    <mergeCell ref="Q4:R4"/>
    <mergeCell ref="S4:T4"/>
    <mergeCell ref="U4:U5"/>
    <mergeCell ref="A2:W2"/>
    <mergeCell ref="C3:L3"/>
    <mergeCell ref="N3:W3"/>
    <mergeCell ref="A4:A5"/>
    <mergeCell ref="C4:C5"/>
    <mergeCell ref="D4:E4"/>
    <mergeCell ref="F4:G4"/>
    <mergeCell ref="H4:I4"/>
    <mergeCell ref="J4:J5"/>
    <mergeCell ref="K4:K5"/>
    <mergeCell ref="V4:V5"/>
    <mergeCell ref="W4:W5"/>
  </mergeCells>
  <phoneticPr fontId="101" type="noConversion"/>
  <pageMargins left="0.5" right="0.5" top="0.5" bottom="0.5" header="0.05" footer="0.05"/>
  <pageSetup scale="65" fitToHeight="0" orientation="landscape" horizontalDpi="1200" verticalDpi="1200"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D28"/>
  <sheetViews>
    <sheetView workbookViewId="0"/>
  </sheetViews>
  <sheetFormatPr defaultColWidth="10.7109375" defaultRowHeight="15" x14ac:dyDescent="0.25"/>
  <cols>
    <col min="1" max="1" width="9.85546875" style="37" customWidth="1"/>
    <col min="2" max="2" width="4.42578125" style="56" customWidth="1"/>
    <col min="3" max="3" width="10" style="56" customWidth="1"/>
    <col min="4" max="4" width="11.42578125" style="56" customWidth="1"/>
    <col min="5" max="5" width="7.140625" style="56" customWidth="1"/>
    <col min="6" max="6" width="8.140625" style="56" customWidth="1"/>
    <col min="7" max="8" width="8.42578125" style="161" customWidth="1"/>
    <col min="9" max="9" width="10.7109375" style="162" customWidth="1"/>
    <col min="10" max="10" width="7.42578125" style="179" customWidth="1"/>
    <col min="11" max="11" width="5.42578125" style="179" customWidth="1"/>
    <col min="12" max="13" width="8.28515625" style="178" customWidth="1"/>
    <col min="14" max="14" width="11" style="179" customWidth="1"/>
    <col min="15" max="15" width="7.42578125" style="179" customWidth="1"/>
    <col min="16" max="16" width="5.42578125" style="179" customWidth="1"/>
    <col min="17" max="17" width="8.28515625" style="178" customWidth="1"/>
    <col min="18" max="18" width="10.42578125" style="56" customWidth="1"/>
    <col min="19" max="19" width="15.140625" style="299" customWidth="1"/>
    <col min="20" max="20" width="10.85546875" style="179" customWidth="1"/>
    <col min="21" max="21" width="7.28515625" style="56" customWidth="1"/>
    <col min="22" max="22" width="11.42578125" style="291" customWidth="1"/>
    <col min="23" max="23" width="8.42578125" style="161" customWidth="1"/>
    <col min="24" max="24" width="11.85546875" style="302" customWidth="1"/>
    <col min="25" max="25" width="6.7109375" style="294" customWidth="1"/>
    <col min="26" max="26" width="11.85546875" style="294" customWidth="1"/>
    <col min="27" max="27" width="9" style="294" customWidth="1"/>
    <col min="28" max="28" width="11.140625" style="294" customWidth="1"/>
    <col min="29" max="29" width="7.42578125" style="56" customWidth="1"/>
    <col min="30" max="30" width="10.42578125" style="178" customWidth="1"/>
    <col min="31" max="16384" width="10.7109375" style="56"/>
  </cols>
  <sheetData>
    <row r="1" spans="1:30" ht="32.25" customHeight="1" x14ac:dyDescent="0.25">
      <c r="A1" s="137" t="s">
        <v>5612</v>
      </c>
      <c r="I1" s="833"/>
      <c r="U1" s="161"/>
      <c r="X1" s="291"/>
    </row>
    <row r="2" spans="1:30" s="963" customFormat="1" ht="33" customHeight="1" x14ac:dyDescent="0.25">
      <c r="A2" s="1409" t="s">
        <v>2238</v>
      </c>
      <c r="B2" s="1409" t="s">
        <v>891</v>
      </c>
      <c r="C2" s="1409" t="s">
        <v>2239</v>
      </c>
      <c r="D2" s="1409" t="s">
        <v>3</v>
      </c>
      <c r="E2" s="1409" t="s">
        <v>2240</v>
      </c>
      <c r="F2" s="1409" t="s">
        <v>2241</v>
      </c>
      <c r="G2" s="1409" t="s">
        <v>2242</v>
      </c>
      <c r="H2" s="1423" t="s">
        <v>2243</v>
      </c>
      <c r="I2" s="1423"/>
      <c r="J2" s="1423"/>
      <c r="K2" s="1423"/>
      <c r="L2" s="1423"/>
      <c r="M2" s="1476" t="s">
        <v>2244</v>
      </c>
      <c r="N2" s="1476"/>
      <c r="O2" s="1476"/>
      <c r="P2" s="1476"/>
      <c r="Q2" s="1477"/>
      <c r="R2" s="1489" t="s">
        <v>2245</v>
      </c>
      <c r="S2" s="1409"/>
      <c r="T2" s="1409"/>
      <c r="U2" s="1488" t="s">
        <v>2246</v>
      </c>
      <c r="V2" s="1255"/>
      <c r="W2" s="1255"/>
      <c r="X2" s="1255"/>
      <c r="Y2" s="1481" t="s">
        <v>2247</v>
      </c>
      <c r="Z2" s="1482"/>
      <c r="AA2" s="1482"/>
      <c r="AB2" s="1482"/>
      <c r="AC2" s="1485" t="s">
        <v>2248</v>
      </c>
      <c r="AD2" s="1483" t="s">
        <v>2249</v>
      </c>
    </row>
    <row r="3" spans="1:30" s="963" customFormat="1" ht="63" thickBot="1" x14ac:dyDescent="0.3">
      <c r="A3" s="1424"/>
      <c r="B3" s="1424"/>
      <c r="C3" s="1424"/>
      <c r="D3" s="1424"/>
      <c r="E3" s="1424"/>
      <c r="F3" s="1424"/>
      <c r="G3" s="1424"/>
      <c r="H3" s="1165" t="s">
        <v>5567</v>
      </c>
      <c r="I3" s="310" t="s">
        <v>2250</v>
      </c>
      <c r="J3" s="310" t="s">
        <v>5331</v>
      </c>
      <c r="K3" s="310" t="s">
        <v>10</v>
      </c>
      <c r="L3" s="788" t="s">
        <v>11</v>
      </c>
      <c r="M3" s="933" t="s">
        <v>5567</v>
      </c>
      <c r="N3" s="310" t="s">
        <v>2250</v>
      </c>
      <c r="O3" s="310" t="s">
        <v>5331</v>
      </c>
      <c r="P3" s="310" t="s">
        <v>10</v>
      </c>
      <c r="Q3" s="788" t="s">
        <v>11</v>
      </c>
      <c r="R3" s="314" t="s">
        <v>2251</v>
      </c>
      <c r="S3" s="312" t="s">
        <v>2252</v>
      </c>
      <c r="T3" s="313" t="s">
        <v>2253</v>
      </c>
      <c r="U3" s="314" t="s">
        <v>2254</v>
      </c>
      <c r="V3" s="315" t="s">
        <v>2255</v>
      </c>
      <c r="W3" s="312" t="s">
        <v>2256</v>
      </c>
      <c r="X3" s="315" t="s">
        <v>2257</v>
      </c>
      <c r="Y3" s="314" t="s">
        <v>2254</v>
      </c>
      <c r="Z3" s="315" t="s">
        <v>2255</v>
      </c>
      <c r="AA3" s="312" t="s">
        <v>2256</v>
      </c>
      <c r="AB3" s="315" t="s">
        <v>2257</v>
      </c>
      <c r="AC3" s="1486"/>
      <c r="AD3" s="1484"/>
    </row>
    <row r="4" spans="1:30" ht="30.75" thickTop="1" x14ac:dyDescent="0.25">
      <c r="A4" s="1491" t="s">
        <v>924</v>
      </c>
      <c r="B4" s="1467">
        <v>6</v>
      </c>
      <c r="C4" s="1467">
        <v>127767954</v>
      </c>
      <c r="D4" s="1467" t="s">
        <v>99</v>
      </c>
      <c r="E4" s="1467" t="s">
        <v>975</v>
      </c>
      <c r="F4" s="1467" t="s">
        <v>100</v>
      </c>
      <c r="G4" s="1467" t="s">
        <v>2258</v>
      </c>
      <c r="H4" s="1478">
        <f>VLOOKUP(D4,alla,10,FALSE)</f>
        <v>391469</v>
      </c>
      <c r="I4" s="1475">
        <v>8.8999999999999999E-3</v>
      </c>
      <c r="J4" s="1475">
        <v>0.1074</v>
      </c>
      <c r="K4" s="1475">
        <v>1.46E-2</v>
      </c>
      <c r="L4" s="1473">
        <v>2.07E-13</v>
      </c>
      <c r="M4" s="1479">
        <v>119572</v>
      </c>
      <c r="N4" s="1494">
        <v>1.1350000000000001E-2</v>
      </c>
      <c r="O4" s="1475">
        <v>0.1031</v>
      </c>
      <c r="P4" s="1475">
        <v>1.9859999999999999E-2</v>
      </c>
      <c r="Q4" s="1473">
        <v>2.0800000000000001E-7</v>
      </c>
      <c r="R4" s="307" t="s">
        <v>2259</v>
      </c>
      <c r="S4" s="300" t="s">
        <v>2260</v>
      </c>
      <c r="T4" s="833">
        <v>1.1118483582303678E-2</v>
      </c>
      <c r="U4" s="307">
        <v>1230</v>
      </c>
      <c r="V4" s="291">
        <v>0.48330058939096265</v>
      </c>
      <c r="W4" s="161">
        <v>54533</v>
      </c>
      <c r="X4" s="302">
        <v>0.4938375578436433</v>
      </c>
      <c r="Y4" s="295">
        <v>1256.2124685762844</v>
      </c>
      <c r="Z4" s="291">
        <v>0.49360018411641826</v>
      </c>
      <c r="AA4" s="295">
        <v>54506.787531423717</v>
      </c>
      <c r="AB4" s="291">
        <v>0.49360018411641826</v>
      </c>
      <c r="AC4" s="307">
        <v>55763</v>
      </c>
      <c r="AD4" s="1499">
        <v>0.29317560916560564</v>
      </c>
    </row>
    <row r="5" spans="1:30" ht="30" x14ac:dyDescent="0.25">
      <c r="A5" s="1491"/>
      <c r="B5" s="1467"/>
      <c r="C5" s="1467"/>
      <c r="D5" s="1467"/>
      <c r="E5" s="1467"/>
      <c r="F5" s="1467"/>
      <c r="G5" s="1467"/>
      <c r="H5" s="1467"/>
      <c r="I5" s="1475"/>
      <c r="J5" s="1475"/>
      <c r="K5" s="1475"/>
      <c r="L5" s="1473"/>
      <c r="M5" s="1471"/>
      <c r="N5" s="1475"/>
      <c r="O5" s="1475"/>
      <c r="P5" s="1475"/>
      <c r="Q5" s="1473"/>
      <c r="R5" s="308" t="s">
        <v>2261</v>
      </c>
      <c r="S5" s="298" t="s">
        <v>2262</v>
      </c>
      <c r="T5" s="306">
        <v>1.1571605866209863E-2</v>
      </c>
      <c r="U5" s="308">
        <v>1315</v>
      </c>
      <c r="V5" s="292">
        <v>0.51669941060903735</v>
      </c>
      <c r="W5" s="290">
        <v>55894</v>
      </c>
      <c r="X5" s="303">
        <v>0.50616244215635664</v>
      </c>
      <c r="Y5" s="296">
        <v>1288.7875314237156</v>
      </c>
      <c r="Z5" s="292">
        <v>0.50639981588358174</v>
      </c>
      <c r="AA5" s="296">
        <v>55920.212468576283</v>
      </c>
      <c r="AB5" s="292">
        <v>0.50639981588358174</v>
      </c>
      <c r="AC5" s="308">
        <v>57209</v>
      </c>
      <c r="AD5" s="1496"/>
    </row>
    <row r="6" spans="1:30" x14ac:dyDescent="0.25">
      <c r="A6" s="1491"/>
      <c r="B6" s="1467"/>
      <c r="C6" s="1467"/>
      <c r="D6" s="1467"/>
      <c r="E6" s="1467"/>
      <c r="F6" s="1467"/>
      <c r="G6" s="1467" t="s">
        <v>2263</v>
      </c>
      <c r="H6" s="1467">
        <f>VLOOKUP(D4,allw,10,FALSE)</f>
        <v>205203</v>
      </c>
      <c r="I6" s="1475">
        <v>9.0930000000000004E-3</v>
      </c>
      <c r="J6" s="1475">
        <v>0.14962300000000001</v>
      </c>
      <c r="K6" s="1475">
        <v>2.0157999999999999E-2</v>
      </c>
      <c r="L6" s="1473">
        <v>1.1499999999999999E-13</v>
      </c>
      <c r="M6" s="1471">
        <v>62926</v>
      </c>
      <c r="N6" s="1475">
        <v>1.1350000000000001E-2</v>
      </c>
      <c r="O6" s="1475">
        <v>0.1323</v>
      </c>
      <c r="P6" s="1475">
        <v>2.726E-2</v>
      </c>
      <c r="Q6" s="1473">
        <v>1.2100000000000001E-6</v>
      </c>
      <c r="R6" s="307" t="s">
        <v>2259</v>
      </c>
      <c r="S6" s="300" t="s">
        <v>2264</v>
      </c>
      <c r="T6" s="833">
        <v>1.1073734868760282E-2</v>
      </c>
      <c r="U6" s="307">
        <v>899</v>
      </c>
      <c r="V6" s="291">
        <v>0.66102941176470587</v>
      </c>
      <c r="W6" s="161">
        <v>39828</v>
      </c>
      <c r="X6" s="302">
        <v>0.68738889560069727</v>
      </c>
      <c r="Y6" s="295">
        <v>934.0267449115529</v>
      </c>
      <c r="Z6" s="291">
        <v>0.68678437125849479</v>
      </c>
      <c r="AA6" s="295">
        <v>39792.973255088444</v>
      </c>
      <c r="AB6" s="291">
        <v>0.68678437125849479</v>
      </c>
      <c r="AC6" s="307">
        <v>40727</v>
      </c>
      <c r="AD6" s="1495">
        <v>3.8289171629884364E-2</v>
      </c>
    </row>
    <row r="7" spans="1:30" x14ac:dyDescent="0.25">
      <c r="A7" s="1491"/>
      <c r="B7" s="1467"/>
      <c r="C7" s="1467"/>
      <c r="D7" s="1467"/>
      <c r="E7" s="1467"/>
      <c r="F7" s="1467"/>
      <c r="G7" s="1467"/>
      <c r="H7" s="1467"/>
      <c r="I7" s="1475"/>
      <c r="J7" s="1475"/>
      <c r="K7" s="1475"/>
      <c r="L7" s="1473"/>
      <c r="M7" s="1471"/>
      <c r="N7" s="1475"/>
      <c r="O7" s="1475"/>
      <c r="P7" s="1475"/>
      <c r="Q7" s="1473"/>
      <c r="R7" s="308" t="s">
        <v>2261</v>
      </c>
      <c r="S7" s="298" t="s">
        <v>2265</v>
      </c>
      <c r="T7" s="306">
        <v>1.2490578227630021E-2</v>
      </c>
      <c r="U7" s="308">
        <v>461</v>
      </c>
      <c r="V7" s="292">
        <v>0.33897058823529413</v>
      </c>
      <c r="W7" s="290">
        <v>18113</v>
      </c>
      <c r="X7" s="303">
        <v>0.31261110439930273</v>
      </c>
      <c r="Y7" s="296">
        <v>425.97325508844705</v>
      </c>
      <c r="Z7" s="292">
        <v>0.31321562874150516</v>
      </c>
      <c r="AA7" s="296">
        <v>18148.026744911553</v>
      </c>
      <c r="AB7" s="292">
        <v>0.31321562874150521</v>
      </c>
      <c r="AC7" s="308">
        <v>18574</v>
      </c>
      <c r="AD7" s="1496"/>
    </row>
    <row r="8" spans="1:30" x14ac:dyDescent="0.25">
      <c r="A8" s="1491"/>
      <c r="B8" s="1467"/>
      <c r="C8" s="1467"/>
      <c r="D8" s="1467"/>
      <c r="E8" s="1467"/>
      <c r="F8" s="1467"/>
      <c r="G8" s="1467" t="s">
        <v>2266</v>
      </c>
      <c r="H8" s="1467">
        <f>VLOOKUP(D4,allm,10,FALSE)</f>
        <v>188079</v>
      </c>
      <c r="I8" s="1475">
        <v>8.6689999999999996E-3</v>
      </c>
      <c r="J8" s="1475">
        <v>6.0283999999999997E-2</v>
      </c>
      <c r="K8" s="1475">
        <v>2.1087000000000002E-2</v>
      </c>
      <c r="L8" s="1473">
        <v>4.2500000000000003E-3</v>
      </c>
      <c r="M8" s="1471">
        <v>56646</v>
      </c>
      <c r="N8" s="1475">
        <v>1.1350000000000001E-2</v>
      </c>
      <c r="O8" s="1475">
        <v>7.0010000000000003E-2</v>
      </c>
      <c r="P8" s="1475">
        <v>2.8979999999999999E-2</v>
      </c>
      <c r="Q8" s="1473">
        <v>1.5709999999999998E-2</v>
      </c>
      <c r="R8" s="307" t="s">
        <v>2259</v>
      </c>
      <c r="S8" s="300" t="s">
        <v>2267</v>
      </c>
      <c r="T8" s="833">
        <v>1.1239691407289172E-2</v>
      </c>
      <c r="U8" s="307">
        <v>331</v>
      </c>
      <c r="V8" s="291">
        <v>0.27932489451476794</v>
      </c>
      <c r="W8" s="161">
        <v>14705</v>
      </c>
      <c r="X8" s="302">
        <v>0.28016995008192663</v>
      </c>
      <c r="Y8" s="295">
        <v>331.97928117605409</v>
      </c>
      <c r="Z8" s="291">
        <v>0.28015129213169121</v>
      </c>
      <c r="AA8" s="295">
        <v>14704.020718823946</v>
      </c>
      <c r="AB8" s="291">
        <v>0.28015129213169121</v>
      </c>
      <c r="AC8" s="307">
        <v>15036</v>
      </c>
      <c r="AD8" s="1495">
        <v>0.948923335823874</v>
      </c>
    </row>
    <row r="9" spans="1:30" x14ac:dyDescent="0.25">
      <c r="A9" s="1393"/>
      <c r="B9" s="1468"/>
      <c r="C9" s="1468"/>
      <c r="D9" s="1468"/>
      <c r="E9" s="1468"/>
      <c r="F9" s="1468"/>
      <c r="G9" s="1468"/>
      <c r="H9" s="1467"/>
      <c r="I9" s="1480">
        <v>8.6689999999999996E-3</v>
      </c>
      <c r="J9" s="1480">
        <v>6.0283999999999997E-2</v>
      </c>
      <c r="K9" s="1480">
        <v>2.1087000000000002E-2</v>
      </c>
      <c r="L9" s="1474">
        <v>4.2500000000000003E-3</v>
      </c>
      <c r="M9" s="1471"/>
      <c r="N9" s="1480">
        <v>1.1350000000000001E-2</v>
      </c>
      <c r="O9" s="1480">
        <v>7.0010000000000003E-2</v>
      </c>
      <c r="P9" s="1480">
        <v>2.8979999999999999E-2</v>
      </c>
      <c r="Q9" s="1474">
        <v>1.5709999999999998E-2</v>
      </c>
      <c r="R9" s="196" t="s">
        <v>2261</v>
      </c>
      <c r="S9" s="301" t="s">
        <v>2268</v>
      </c>
      <c r="T9" s="834">
        <v>1.1129804581338165E-2</v>
      </c>
      <c r="U9" s="196">
        <v>854</v>
      </c>
      <c r="V9" s="293">
        <v>0.72067510548523206</v>
      </c>
      <c r="W9" s="163">
        <v>37781</v>
      </c>
      <c r="X9" s="304">
        <v>0.71983004991807342</v>
      </c>
      <c r="Y9" s="297">
        <v>853.02071882394591</v>
      </c>
      <c r="Z9" s="293">
        <v>0.71984870786830879</v>
      </c>
      <c r="AA9" s="297">
        <v>37781.979281176056</v>
      </c>
      <c r="AB9" s="293">
        <v>0.71984870786830879</v>
      </c>
      <c r="AC9" s="196">
        <v>38635</v>
      </c>
      <c r="AD9" s="1498"/>
    </row>
    <row r="10" spans="1:30" ht="30" x14ac:dyDescent="0.25">
      <c r="A10" s="1490" t="s">
        <v>132</v>
      </c>
      <c r="B10" s="1487">
        <v>12</v>
      </c>
      <c r="C10" s="1487">
        <v>48143315</v>
      </c>
      <c r="D10" s="1487" t="s">
        <v>131</v>
      </c>
      <c r="E10" s="1487" t="s">
        <v>980</v>
      </c>
      <c r="F10" s="1487" t="s">
        <v>133</v>
      </c>
      <c r="G10" s="1487" t="s">
        <v>2258</v>
      </c>
      <c r="H10" s="1469">
        <f>VLOOKUP(D10,alla,10,FALSE)</f>
        <v>470513</v>
      </c>
      <c r="I10" s="1492">
        <v>1.0099999999999998E-2</v>
      </c>
      <c r="J10" s="1492">
        <v>-8.9800000000000005E-2</v>
      </c>
      <c r="K10" s="1492">
        <v>1.21E-2</v>
      </c>
      <c r="L10" s="1493">
        <v>1.2800000000000001E-13</v>
      </c>
      <c r="M10" s="1470">
        <v>119572</v>
      </c>
      <c r="N10" s="1492">
        <v>1.1210000000000053E-2</v>
      </c>
      <c r="O10" s="1492">
        <v>-6.9430000000000006E-2</v>
      </c>
      <c r="P10" s="1492">
        <v>1.9709999999999998E-2</v>
      </c>
      <c r="Q10" s="1493">
        <v>4.2700000000000002E-4</v>
      </c>
      <c r="R10" s="309" t="s">
        <v>2259</v>
      </c>
      <c r="S10" s="867" t="s">
        <v>2260</v>
      </c>
      <c r="T10" s="756">
        <v>1.5169361759410388E-2</v>
      </c>
      <c r="U10" s="309">
        <v>1792</v>
      </c>
      <c r="V10" s="755">
        <v>0.51039589860438617</v>
      </c>
      <c r="W10" s="754">
        <v>57637</v>
      </c>
      <c r="X10" s="305">
        <v>0.49499738060271903</v>
      </c>
      <c r="Y10" s="868">
        <v>1739.5182909545645</v>
      </c>
      <c r="Z10" s="291">
        <v>0.49544810337640688</v>
      </c>
      <c r="AA10" s="868">
        <v>57689.481709045438</v>
      </c>
      <c r="AB10" s="291">
        <v>0.49544810337640688</v>
      </c>
      <c r="AC10" s="309">
        <v>59429</v>
      </c>
      <c r="AD10" s="1497">
        <v>7.2175857605792912E-2</v>
      </c>
    </row>
    <row r="11" spans="1:30" ht="30" x14ac:dyDescent="0.25">
      <c r="A11" s="1491"/>
      <c r="B11" s="1467">
        <v>12</v>
      </c>
      <c r="C11" s="1467">
        <v>48143315</v>
      </c>
      <c r="D11" s="1467" t="s">
        <v>131</v>
      </c>
      <c r="E11" s="1467"/>
      <c r="F11" s="1467"/>
      <c r="G11" s="1467"/>
      <c r="H11" s="1467"/>
      <c r="I11" s="1475">
        <v>0.9899</v>
      </c>
      <c r="J11" s="1475">
        <v>8.9800000000000005E-2</v>
      </c>
      <c r="K11" s="1475">
        <v>1.21E-2</v>
      </c>
      <c r="L11" s="1473">
        <v>1.2800000000000001E-13</v>
      </c>
      <c r="M11" s="1471"/>
      <c r="N11" s="1475">
        <v>0.98878999999999995</v>
      </c>
      <c r="O11" s="1475">
        <v>6.9430000000000006E-2</v>
      </c>
      <c r="P11" s="1475">
        <v>1.9709999999999998E-2</v>
      </c>
      <c r="Q11" s="1473">
        <v>4.2700000000000002E-4</v>
      </c>
      <c r="R11" s="308" t="s">
        <v>2261</v>
      </c>
      <c r="S11" s="298" t="s">
        <v>2262</v>
      </c>
      <c r="T11" s="306">
        <v>1.4292559607408998E-2</v>
      </c>
      <c r="U11" s="308">
        <v>1719</v>
      </c>
      <c r="V11" s="292">
        <v>0.48960410139561378</v>
      </c>
      <c r="W11" s="290">
        <v>58802</v>
      </c>
      <c r="X11" s="303">
        <v>0.50500261939728097</v>
      </c>
      <c r="Y11" s="296">
        <v>1771.4817090454355</v>
      </c>
      <c r="Z11" s="292">
        <v>0.50455189662359312</v>
      </c>
      <c r="AA11" s="296">
        <v>58749.518290954562</v>
      </c>
      <c r="AB11" s="292">
        <v>0.50455189662359312</v>
      </c>
      <c r="AC11" s="308">
        <v>60521</v>
      </c>
      <c r="AD11" s="1496"/>
    </row>
    <row r="12" spans="1:30" x14ac:dyDescent="0.25">
      <c r="A12" s="1491"/>
      <c r="B12" s="1467">
        <v>12</v>
      </c>
      <c r="C12" s="1467">
        <v>48143315</v>
      </c>
      <c r="D12" s="1467" t="s">
        <v>131</v>
      </c>
      <c r="E12" s="1467"/>
      <c r="F12" s="1467"/>
      <c r="G12" s="1467" t="s">
        <v>2263</v>
      </c>
      <c r="H12" s="1467">
        <f>VLOOKUP(D10,allw,10,FALSE)</f>
        <v>246266</v>
      </c>
      <c r="I12" s="1475">
        <v>1.0284999999999989E-2</v>
      </c>
      <c r="J12" s="1475">
        <v>-0.101812</v>
      </c>
      <c r="K12" s="1475">
        <v>1.6584000000000002E-2</v>
      </c>
      <c r="L12" s="1473">
        <v>8.2900000000000003E-10</v>
      </c>
      <c r="M12" s="1471">
        <v>62926</v>
      </c>
      <c r="N12" s="1475">
        <v>1.1210000000000053E-2</v>
      </c>
      <c r="O12" s="1475">
        <v>-0.1232</v>
      </c>
      <c r="P12" s="1475">
        <v>2.6980000000000001E-2</v>
      </c>
      <c r="Q12" s="1473">
        <v>4.95E-6</v>
      </c>
      <c r="R12" s="307" t="s">
        <v>2259</v>
      </c>
      <c r="S12" s="300" t="s">
        <v>2264</v>
      </c>
      <c r="T12" s="833">
        <v>1.5027983141021212E-2</v>
      </c>
      <c r="U12" s="307">
        <v>1297</v>
      </c>
      <c r="V12" s="291">
        <v>0.70032397408207347</v>
      </c>
      <c r="W12" s="161">
        <v>42122</v>
      </c>
      <c r="X12" s="302">
        <v>0.68729094261425749</v>
      </c>
      <c r="Y12" s="295">
        <v>1273.5708199369644</v>
      </c>
      <c r="Z12" s="291">
        <v>0.68767322890764815</v>
      </c>
      <c r="AA12" s="295">
        <v>42145.429180063038</v>
      </c>
      <c r="AB12" s="291">
        <v>0.68767322890764826</v>
      </c>
      <c r="AC12" s="307">
        <v>43419</v>
      </c>
      <c r="AD12" s="1495">
        <v>0.23312204992044389</v>
      </c>
    </row>
    <row r="13" spans="1:30" x14ac:dyDescent="0.25">
      <c r="A13" s="1491"/>
      <c r="B13" s="1467">
        <v>12</v>
      </c>
      <c r="C13" s="1467">
        <v>48143315</v>
      </c>
      <c r="D13" s="1467" t="s">
        <v>131</v>
      </c>
      <c r="E13" s="1467"/>
      <c r="F13" s="1467"/>
      <c r="G13" s="1467"/>
      <c r="H13" s="1467"/>
      <c r="I13" s="1475">
        <v>0.98971500000000001</v>
      </c>
      <c r="J13" s="1475">
        <v>0.101812</v>
      </c>
      <c r="K13" s="1475">
        <v>1.6584000000000002E-2</v>
      </c>
      <c r="L13" s="1473">
        <v>8.2900000000000003E-10</v>
      </c>
      <c r="M13" s="1471"/>
      <c r="N13" s="1475">
        <v>0.98878999999999995</v>
      </c>
      <c r="O13" s="1475">
        <v>0.1232</v>
      </c>
      <c r="P13" s="1475">
        <v>2.6980000000000001E-2</v>
      </c>
      <c r="Q13" s="1473">
        <v>4.95E-6</v>
      </c>
      <c r="R13" s="308" t="s">
        <v>2261</v>
      </c>
      <c r="S13" s="298" t="s">
        <v>2265</v>
      </c>
      <c r="T13" s="306">
        <v>1.4198782961460446E-2</v>
      </c>
      <c r="U13" s="308">
        <v>555</v>
      </c>
      <c r="V13" s="292">
        <v>0.29967602591792658</v>
      </c>
      <c r="W13" s="290">
        <v>19165</v>
      </c>
      <c r="X13" s="303">
        <v>0.31270905738574251</v>
      </c>
      <c r="Y13" s="296">
        <v>578.42918006303557</v>
      </c>
      <c r="Z13" s="292">
        <v>0.3123267710923518</v>
      </c>
      <c r="AA13" s="296">
        <v>19141.570819936966</v>
      </c>
      <c r="AB13" s="292">
        <v>0.3123267710923518</v>
      </c>
      <c r="AC13" s="308">
        <v>19720</v>
      </c>
      <c r="AD13" s="1496"/>
    </row>
    <row r="14" spans="1:30" x14ac:dyDescent="0.25">
      <c r="A14" s="1491"/>
      <c r="B14" s="1467">
        <v>12</v>
      </c>
      <c r="C14" s="1467">
        <v>48143315</v>
      </c>
      <c r="D14" s="1467" t="s">
        <v>131</v>
      </c>
      <c r="E14" s="1467"/>
      <c r="F14" s="1467"/>
      <c r="G14" s="1467" t="s">
        <v>2266</v>
      </c>
      <c r="H14" s="1467">
        <f>VLOOKUP(D10,allm,10,FALSE)</f>
        <v>224600</v>
      </c>
      <c r="I14" s="1475">
        <v>9.8930000000000407E-3</v>
      </c>
      <c r="J14" s="1475">
        <v>-6.7780999999999994E-2</v>
      </c>
      <c r="K14" s="1475">
        <v>1.7638000000000001E-2</v>
      </c>
      <c r="L14" s="1473">
        <v>1.22E-4</v>
      </c>
      <c r="M14" s="1471">
        <v>56646</v>
      </c>
      <c r="N14" s="1475">
        <v>1.1210000000000053E-2</v>
      </c>
      <c r="O14" s="1475">
        <v>-8.0160000000000006E-3</v>
      </c>
      <c r="P14" s="1475">
        <v>2.8850000000000001E-2</v>
      </c>
      <c r="Q14" s="1473">
        <v>0.78120000000000001</v>
      </c>
      <c r="R14" s="307" t="s">
        <v>2259</v>
      </c>
      <c r="S14" s="300" t="s">
        <v>2267</v>
      </c>
      <c r="T14" s="833">
        <v>1.5552779512804498E-2</v>
      </c>
      <c r="U14" s="307">
        <v>495</v>
      </c>
      <c r="V14" s="291">
        <v>0.29837251356238698</v>
      </c>
      <c r="W14" s="161">
        <v>15515</v>
      </c>
      <c r="X14" s="302">
        <v>0.28131346098056281</v>
      </c>
      <c r="Y14" s="295">
        <v>467.52547922057346</v>
      </c>
      <c r="Z14" s="291">
        <v>0.28181162098889301</v>
      </c>
      <c r="AA14" s="295">
        <v>15542.474520779426</v>
      </c>
      <c r="AB14" s="291">
        <v>0.28181162098889301</v>
      </c>
      <c r="AC14" s="307">
        <v>16010</v>
      </c>
      <c r="AD14" s="1495">
        <v>0.1280712328036416</v>
      </c>
    </row>
    <row r="15" spans="1:30" x14ac:dyDescent="0.25">
      <c r="A15" s="1393"/>
      <c r="B15" s="1468">
        <v>12</v>
      </c>
      <c r="C15" s="1468">
        <v>48143315</v>
      </c>
      <c r="D15" s="1468" t="s">
        <v>131</v>
      </c>
      <c r="E15" s="1468"/>
      <c r="F15" s="1468"/>
      <c r="G15" s="1468"/>
      <c r="H15" s="1468"/>
      <c r="I15" s="1480">
        <v>0.99010699999999996</v>
      </c>
      <c r="J15" s="1480">
        <v>6.7780999999999994E-2</v>
      </c>
      <c r="K15" s="1480">
        <v>1.7638000000000001E-2</v>
      </c>
      <c r="L15" s="1474">
        <v>1.22E-4</v>
      </c>
      <c r="M15" s="1472"/>
      <c r="N15" s="1480">
        <v>0.98878999999999995</v>
      </c>
      <c r="O15" s="1480">
        <v>8.0160000000000006E-3</v>
      </c>
      <c r="P15" s="1480">
        <v>2.8850000000000001E-2</v>
      </c>
      <c r="Q15" s="1474">
        <v>0.78120000000000001</v>
      </c>
      <c r="R15" s="196" t="s">
        <v>2261</v>
      </c>
      <c r="S15" s="301" t="s">
        <v>2268</v>
      </c>
      <c r="T15" s="834">
        <v>1.433788387539521E-2</v>
      </c>
      <c r="U15" s="196">
        <v>1164</v>
      </c>
      <c r="V15" s="293">
        <v>0.70162748643761297</v>
      </c>
      <c r="W15" s="163">
        <v>39637</v>
      </c>
      <c r="X15" s="304">
        <v>0.71868653901943724</v>
      </c>
      <c r="Y15" s="297">
        <v>1191.4745207794265</v>
      </c>
      <c r="Z15" s="293">
        <v>0.71818837901110699</v>
      </c>
      <c r="AA15" s="297">
        <v>39609.525479220574</v>
      </c>
      <c r="AB15" s="293">
        <v>0.71818837901110699</v>
      </c>
      <c r="AC15" s="196">
        <v>40801</v>
      </c>
      <c r="AD15" s="1498"/>
    </row>
    <row r="16" spans="1:30" ht="30" x14ac:dyDescent="0.25">
      <c r="A16" s="1490" t="s">
        <v>33</v>
      </c>
      <c r="B16" s="1487">
        <v>2</v>
      </c>
      <c r="C16" s="1487">
        <v>158412701</v>
      </c>
      <c r="D16" s="1487" t="s">
        <v>32</v>
      </c>
      <c r="E16" s="1487" t="s">
        <v>984</v>
      </c>
      <c r="F16" s="1487" t="s">
        <v>34</v>
      </c>
      <c r="G16" s="1487" t="s">
        <v>2258</v>
      </c>
      <c r="H16" s="1469">
        <f>VLOOKUP(D16,alla,10,FALSE)</f>
        <v>455526</v>
      </c>
      <c r="I16" s="1492">
        <v>9.199999999999986E-3</v>
      </c>
      <c r="J16" s="1492">
        <v>-4.5499999999999999E-2</v>
      </c>
      <c r="K16" s="1492">
        <v>1.32E-2</v>
      </c>
      <c r="L16" s="1493">
        <v>5.62E-4</v>
      </c>
      <c r="M16" s="1470">
        <v>119572</v>
      </c>
      <c r="N16" s="1492">
        <v>1.2070000000000025E-2</v>
      </c>
      <c r="O16" s="1492">
        <v>-0.10730000000000001</v>
      </c>
      <c r="P16" s="1492">
        <v>1.873E-2</v>
      </c>
      <c r="Q16" s="1493">
        <v>1.0099999999999999E-8</v>
      </c>
      <c r="R16" s="309" t="s">
        <v>2259</v>
      </c>
      <c r="S16" s="867" t="s">
        <v>2260</v>
      </c>
      <c r="T16" s="756">
        <v>1.2951492914127984E-2</v>
      </c>
      <c r="U16" s="309">
        <v>1533</v>
      </c>
      <c r="V16" s="755">
        <v>0.53136915077989599</v>
      </c>
      <c r="W16" s="754">
        <v>57881</v>
      </c>
      <c r="X16" s="305">
        <v>0.49453187744570326</v>
      </c>
      <c r="Y16" s="868">
        <v>1429.2810626464432</v>
      </c>
      <c r="Z16" s="291">
        <v>0.4954180459779699</v>
      </c>
      <c r="AA16" s="868">
        <v>57984.718937353558</v>
      </c>
      <c r="AB16" s="291">
        <v>0.49541804597796996</v>
      </c>
      <c r="AC16" s="309">
        <v>59414</v>
      </c>
      <c r="AD16" s="1504">
        <v>9.2488106889629485E-5</v>
      </c>
    </row>
    <row r="17" spans="1:30" ht="30" x14ac:dyDescent="0.25">
      <c r="A17" s="1491"/>
      <c r="B17" s="1467">
        <v>2</v>
      </c>
      <c r="C17" s="1467">
        <v>158412701</v>
      </c>
      <c r="D17" s="1467" t="s">
        <v>32</v>
      </c>
      <c r="E17" s="1467"/>
      <c r="F17" s="1467"/>
      <c r="G17" s="1467"/>
      <c r="H17" s="1467"/>
      <c r="I17" s="1475">
        <v>0.99080000000000001</v>
      </c>
      <c r="J17" s="1475">
        <v>4.5499999999999999E-2</v>
      </c>
      <c r="K17" s="1475">
        <v>1.32E-2</v>
      </c>
      <c r="L17" s="1473">
        <v>5.62E-4</v>
      </c>
      <c r="M17" s="1471"/>
      <c r="N17" s="1475">
        <v>0.98792999999999997</v>
      </c>
      <c r="O17" s="1475">
        <v>0.10730000000000001</v>
      </c>
      <c r="P17" s="1475">
        <v>1.873E-2</v>
      </c>
      <c r="Q17" s="1473">
        <v>1.0099999999999999E-8</v>
      </c>
      <c r="R17" s="308" t="s">
        <v>2261</v>
      </c>
      <c r="S17" s="298" t="s">
        <v>2262</v>
      </c>
      <c r="T17" s="306">
        <v>1.121246674268339E-2</v>
      </c>
      <c r="U17" s="308">
        <v>1352</v>
      </c>
      <c r="V17" s="292">
        <v>0.46863084922010401</v>
      </c>
      <c r="W17" s="290">
        <v>59161</v>
      </c>
      <c r="X17" s="303">
        <v>0.50546812255429674</v>
      </c>
      <c r="Y17" s="296">
        <v>1455.7189373535568</v>
      </c>
      <c r="Z17" s="292">
        <v>0.5045819540220301</v>
      </c>
      <c r="AA17" s="296">
        <v>59057.281062646442</v>
      </c>
      <c r="AB17" s="292">
        <v>0.5045819540220301</v>
      </c>
      <c r="AC17" s="308">
        <v>60513</v>
      </c>
      <c r="AD17" s="1503"/>
    </row>
    <row r="18" spans="1:30" x14ac:dyDescent="0.25">
      <c r="A18" s="1491"/>
      <c r="B18" s="1467">
        <v>2</v>
      </c>
      <c r="C18" s="1467">
        <v>158412701</v>
      </c>
      <c r="D18" s="1467" t="s">
        <v>32</v>
      </c>
      <c r="E18" s="1467"/>
      <c r="F18" s="1467"/>
      <c r="G18" s="1467" t="s">
        <v>2263</v>
      </c>
      <c r="H18" s="1467">
        <f>VLOOKUP(D16,allw,10,FALSE)</f>
        <v>245808</v>
      </c>
      <c r="I18" s="1475">
        <v>9.6709999999999852E-3</v>
      </c>
      <c r="J18" s="1475">
        <v>-9.4434000000000004E-2</v>
      </c>
      <c r="K18" s="1475">
        <v>1.7781999999999999E-2</v>
      </c>
      <c r="L18" s="1473">
        <v>1.09E-7</v>
      </c>
      <c r="M18" s="1471">
        <v>62926</v>
      </c>
      <c r="N18" s="1475">
        <v>1.2070000000000025E-2</v>
      </c>
      <c r="O18" s="1475">
        <v>-0.1512</v>
      </c>
      <c r="P18" s="1475">
        <v>2.5649999999999999E-2</v>
      </c>
      <c r="Q18" s="1473">
        <v>3.7799999999999998E-9</v>
      </c>
      <c r="R18" s="307" t="s">
        <v>2259</v>
      </c>
      <c r="S18" s="300" t="s">
        <v>2264</v>
      </c>
      <c r="T18" s="833">
        <v>1.3085145595281976E-2</v>
      </c>
      <c r="U18" s="307">
        <v>1132</v>
      </c>
      <c r="V18" s="291">
        <v>0.73506493506493509</v>
      </c>
      <c r="W18" s="161">
        <v>42276</v>
      </c>
      <c r="X18" s="302">
        <v>0.68648815419839893</v>
      </c>
      <c r="Y18" s="295">
        <v>1059.0168401375092</v>
      </c>
      <c r="Z18" s="291">
        <v>0.68767327281656443</v>
      </c>
      <c r="AA18" s="295">
        <v>42348.983159862488</v>
      </c>
      <c r="AB18" s="291">
        <v>0.68767327281656443</v>
      </c>
      <c r="AC18" s="307">
        <v>43408</v>
      </c>
      <c r="AD18" s="1502">
        <v>4.8478620084034161E-5</v>
      </c>
    </row>
    <row r="19" spans="1:30" x14ac:dyDescent="0.25">
      <c r="A19" s="1491"/>
      <c r="B19" s="1467">
        <v>2</v>
      </c>
      <c r="C19" s="1467">
        <v>158412701</v>
      </c>
      <c r="D19" s="1467" t="s">
        <v>32</v>
      </c>
      <c r="E19" s="1467"/>
      <c r="F19" s="1467"/>
      <c r="G19" s="1467"/>
      <c r="H19" s="1467"/>
      <c r="I19" s="1475">
        <v>0.99032900000000001</v>
      </c>
      <c r="J19" s="1475">
        <v>9.4434000000000004E-2</v>
      </c>
      <c r="K19" s="1475">
        <v>1.7781999999999999E-2</v>
      </c>
      <c r="L19" s="1473">
        <v>1.09E-7</v>
      </c>
      <c r="M19" s="1471"/>
      <c r="N19" s="1475">
        <v>0.98792999999999997</v>
      </c>
      <c r="O19" s="1475">
        <v>0.1512</v>
      </c>
      <c r="P19" s="1475">
        <v>2.5649999999999999E-2</v>
      </c>
      <c r="Q19" s="1473">
        <v>3.7799999999999998E-9</v>
      </c>
      <c r="R19" s="308" t="s">
        <v>2261</v>
      </c>
      <c r="S19" s="298" t="s">
        <v>2265</v>
      </c>
      <c r="T19" s="306">
        <v>1.0372812579254374E-2</v>
      </c>
      <c r="U19" s="308">
        <v>408</v>
      </c>
      <c r="V19" s="292">
        <v>0.26493506493506491</v>
      </c>
      <c r="W19" s="290">
        <v>19307</v>
      </c>
      <c r="X19" s="303">
        <v>0.31351184580160107</v>
      </c>
      <c r="Y19" s="296">
        <v>480.98315986249071</v>
      </c>
      <c r="Z19" s="292">
        <v>0.31232672718343552</v>
      </c>
      <c r="AA19" s="296">
        <v>19234.016840137509</v>
      </c>
      <c r="AB19" s="292">
        <v>0.31232672718343552</v>
      </c>
      <c r="AC19" s="308">
        <v>19715</v>
      </c>
      <c r="AD19" s="1503"/>
    </row>
    <row r="20" spans="1:30" x14ac:dyDescent="0.25">
      <c r="A20" s="1491"/>
      <c r="B20" s="1467">
        <v>2</v>
      </c>
      <c r="C20" s="1467">
        <v>158412701</v>
      </c>
      <c r="D20" s="1467" t="s">
        <v>32</v>
      </c>
      <c r="E20" s="1467"/>
      <c r="F20" s="1467"/>
      <c r="G20" s="1467" t="s">
        <v>2266</v>
      </c>
      <c r="H20" s="1467">
        <f>VLOOKUP(D16,allm,10,FALSE)</f>
        <v>210071</v>
      </c>
      <c r="I20" s="1475">
        <v>8.7099999999999955E-3</v>
      </c>
      <c r="J20" s="1475">
        <v>1.5318999999999999E-2</v>
      </c>
      <c r="K20" s="1475">
        <v>1.9519000000000002E-2</v>
      </c>
      <c r="L20" s="1473">
        <v>0.433</v>
      </c>
      <c r="M20" s="1471">
        <v>56646</v>
      </c>
      <c r="N20" s="1475">
        <v>1.2070000000000025E-2</v>
      </c>
      <c r="O20" s="1475">
        <v>-5.7270000000000001E-2</v>
      </c>
      <c r="P20" s="1475">
        <v>2.742E-2</v>
      </c>
      <c r="Q20" s="1473">
        <v>3.6720000000000003E-2</v>
      </c>
      <c r="R20" s="335" t="s">
        <v>2259</v>
      </c>
      <c r="S20" s="336" t="s">
        <v>2267</v>
      </c>
      <c r="T20" s="337">
        <v>1.2589029114082219E-2</v>
      </c>
      <c r="U20" s="335">
        <v>401</v>
      </c>
      <c r="V20" s="338">
        <v>0.29814126394052043</v>
      </c>
      <c r="W20" s="339">
        <v>15605</v>
      </c>
      <c r="X20" s="340">
        <v>0.28137903676589915</v>
      </c>
      <c r="Y20" s="341">
        <v>378.98862756143933</v>
      </c>
      <c r="Z20" s="338">
        <v>0.2817759312724456</v>
      </c>
      <c r="AA20" s="341">
        <v>15627.011372438561</v>
      </c>
      <c r="AB20" s="338">
        <v>0.2817759312724456</v>
      </c>
      <c r="AC20" s="335">
        <v>16006</v>
      </c>
      <c r="AD20" s="1495">
        <v>0.17694247241746616</v>
      </c>
    </row>
    <row r="21" spans="1:30" x14ac:dyDescent="0.25">
      <c r="A21" s="1393"/>
      <c r="B21" s="1468">
        <v>2</v>
      </c>
      <c r="C21" s="1468">
        <v>158412701</v>
      </c>
      <c r="D21" s="1468" t="s">
        <v>32</v>
      </c>
      <c r="E21" s="1468"/>
      <c r="F21" s="1468"/>
      <c r="G21" s="1468"/>
      <c r="H21" s="1468"/>
      <c r="I21" s="1480">
        <v>0.99129</v>
      </c>
      <c r="J21" s="1480">
        <v>-1.5318999999999999E-2</v>
      </c>
      <c r="K21" s="1480">
        <v>1.9519000000000002E-2</v>
      </c>
      <c r="L21" s="1474">
        <v>0.433</v>
      </c>
      <c r="M21" s="1472"/>
      <c r="N21" s="1480">
        <v>0.98792999999999997</v>
      </c>
      <c r="O21" s="1480">
        <v>5.7270000000000001E-2</v>
      </c>
      <c r="P21" s="1480">
        <v>2.742E-2</v>
      </c>
      <c r="Q21" s="1474">
        <v>3.6720000000000003E-2</v>
      </c>
      <c r="R21" s="196" t="s">
        <v>2261</v>
      </c>
      <c r="S21" s="301" t="s">
        <v>2268</v>
      </c>
      <c r="T21" s="834">
        <v>1.161821657924408E-2</v>
      </c>
      <c r="U21" s="196">
        <v>944</v>
      </c>
      <c r="V21" s="293">
        <v>0.70185873605947957</v>
      </c>
      <c r="W21" s="163">
        <v>39854</v>
      </c>
      <c r="X21" s="304">
        <v>0.71862096323410085</v>
      </c>
      <c r="Y21" s="297">
        <v>966.01137243856067</v>
      </c>
      <c r="Z21" s="293">
        <v>0.7182240687275544</v>
      </c>
      <c r="AA21" s="297">
        <v>39831.988627561441</v>
      </c>
      <c r="AB21" s="293">
        <v>0.7182240687275544</v>
      </c>
      <c r="AC21" s="196">
        <v>40798</v>
      </c>
      <c r="AD21" s="1498"/>
    </row>
    <row r="22" spans="1:30" x14ac:dyDescent="0.25">
      <c r="A22" s="1343" t="s">
        <v>2270</v>
      </c>
      <c r="B22" s="1343"/>
      <c r="C22" s="1343"/>
      <c r="D22" s="1343"/>
      <c r="E22" s="1343"/>
      <c r="F22" s="1343"/>
      <c r="G22" s="1343"/>
      <c r="H22" s="1343"/>
      <c r="I22" s="1343"/>
      <c r="J22" s="1343"/>
      <c r="K22" s="1343"/>
      <c r="L22" s="1343"/>
      <c r="M22" s="1343"/>
      <c r="N22" s="1343"/>
      <c r="O22" s="1343"/>
      <c r="P22" s="1343"/>
      <c r="Q22" s="1343"/>
      <c r="R22" s="1343"/>
      <c r="S22" s="1343"/>
      <c r="T22" s="1343"/>
      <c r="U22" s="1343"/>
      <c r="V22" s="1343"/>
      <c r="W22" s="1343"/>
      <c r="X22" s="1343"/>
      <c r="Y22" s="1343"/>
      <c r="Z22" s="1343"/>
      <c r="AA22" s="1343"/>
      <c r="AB22" s="1343"/>
      <c r="AC22" s="1343"/>
      <c r="AD22" s="1343"/>
    </row>
    <row r="23" spans="1:30" x14ac:dyDescent="0.25">
      <c r="A23" s="1244" t="s">
        <v>2271</v>
      </c>
      <c r="B23" s="1244"/>
      <c r="C23" s="1244"/>
      <c r="D23" s="1244"/>
      <c r="E23" s="1244"/>
      <c r="F23" s="1244"/>
      <c r="G23" s="1244"/>
      <c r="H23" s="1244"/>
      <c r="I23" s="1244"/>
      <c r="J23" s="1244"/>
      <c r="K23" s="1244"/>
      <c r="L23" s="1244"/>
      <c r="M23" s="1244"/>
      <c r="N23" s="1244"/>
      <c r="O23" s="1244"/>
      <c r="P23" s="1244"/>
      <c r="Q23" s="1244"/>
      <c r="R23" s="1244"/>
      <c r="S23" s="1244"/>
      <c r="T23" s="1244"/>
      <c r="U23" s="1244"/>
      <c r="V23" s="1244"/>
      <c r="W23" s="1244"/>
      <c r="X23" s="1244"/>
      <c r="Y23" s="1244"/>
      <c r="Z23" s="1244"/>
      <c r="AA23" s="1244"/>
      <c r="AB23" s="1244"/>
      <c r="AC23" s="1244"/>
      <c r="AD23" s="1244"/>
    </row>
    <row r="24" spans="1:30" x14ac:dyDescent="0.25">
      <c r="A24" s="1238" t="s">
        <v>227</v>
      </c>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row>
    <row r="25" spans="1:30" x14ac:dyDescent="0.25">
      <c r="A25" s="1500" t="s">
        <v>2272</v>
      </c>
      <c r="B25" s="1500"/>
      <c r="C25" s="1500"/>
      <c r="D25" s="1500"/>
      <c r="E25" s="1500"/>
      <c r="F25" s="1500"/>
      <c r="G25" s="1500"/>
      <c r="H25" s="1500"/>
      <c r="I25" s="1500"/>
      <c r="J25" s="1500"/>
      <c r="K25" s="1500"/>
      <c r="L25" s="1500"/>
      <c r="M25" s="1500"/>
      <c r="N25" s="1500"/>
      <c r="O25" s="1500"/>
      <c r="P25" s="1500"/>
      <c r="Q25" s="1500"/>
      <c r="R25" s="1500"/>
      <c r="S25" s="1500"/>
      <c r="T25" s="1500"/>
      <c r="U25" s="1500"/>
      <c r="V25" s="1500"/>
      <c r="W25" s="1500"/>
      <c r="X25" s="1500"/>
      <c r="Y25" s="1500"/>
      <c r="Z25" s="1500"/>
      <c r="AA25" s="1500"/>
      <c r="AB25" s="1500"/>
      <c r="AC25" s="1500"/>
      <c r="AD25" s="1500"/>
    </row>
    <row r="26" spans="1:30" x14ac:dyDescent="0.25">
      <c r="A26" s="34" t="s">
        <v>2273</v>
      </c>
      <c r="I26" s="833"/>
    </row>
    <row r="27" spans="1:30" x14ac:dyDescent="0.25">
      <c r="A27" s="1501" t="s">
        <v>2274</v>
      </c>
      <c r="B27" s="1501"/>
      <c r="C27" s="1501"/>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row>
    <row r="28" spans="1:30" x14ac:dyDescent="0.25">
      <c r="A28" s="317" t="s">
        <v>5305</v>
      </c>
      <c r="B28" s="812"/>
      <c r="C28" s="812"/>
      <c r="I28" s="833"/>
    </row>
  </sheetData>
  <mergeCells count="145">
    <mergeCell ref="A25:AD25"/>
    <mergeCell ref="A27:AD27"/>
    <mergeCell ref="AD20:AD21"/>
    <mergeCell ref="AD18:AD19"/>
    <mergeCell ref="AD16:AD17"/>
    <mergeCell ref="AD14:AD15"/>
    <mergeCell ref="I16:I17"/>
    <mergeCell ref="J16:J17"/>
    <mergeCell ref="K16:K17"/>
    <mergeCell ref="L16:L17"/>
    <mergeCell ref="N16:N17"/>
    <mergeCell ref="O16:O17"/>
    <mergeCell ref="I14:I15"/>
    <mergeCell ref="J14:J15"/>
    <mergeCell ref="K14:K15"/>
    <mergeCell ref="L14:L15"/>
    <mergeCell ref="N14:N15"/>
    <mergeCell ref="O14:O15"/>
    <mergeCell ref="I20:I21"/>
    <mergeCell ref="J20:J21"/>
    <mergeCell ref="K20:K21"/>
    <mergeCell ref="AD4:AD5"/>
    <mergeCell ref="Q10:Q11"/>
    <mergeCell ref="P6:P7"/>
    <mergeCell ref="Q6:Q7"/>
    <mergeCell ref="P16:P17"/>
    <mergeCell ref="Q16:Q17"/>
    <mergeCell ref="A22:AD22"/>
    <mergeCell ref="A23:AD23"/>
    <mergeCell ref="A24:AD24"/>
    <mergeCell ref="AD12:AD13"/>
    <mergeCell ref="AD10:AD11"/>
    <mergeCell ref="AD8:AD9"/>
    <mergeCell ref="AD6:AD7"/>
    <mergeCell ref="N12:N13"/>
    <mergeCell ref="O12:O13"/>
    <mergeCell ref="P12:P13"/>
    <mergeCell ref="Q12:Q13"/>
    <mergeCell ref="P14:P15"/>
    <mergeCell ref="Q14:Q15"/>
    <mergeCell ref="N10:N11"/>
    <mergeCell ref="O10:O11"/>
    <mergeCell ref="P10:P11"/>
    <mergeCell ref="N20:N21"/>
    <mergeCell ref="O20:O21"/>
    <mergeCell ref="P20:P21"/>
    <mergeCell ref="N4:N5"/>
    <mergeCell ref="L4:L5"/>
    <mergeCell ref="K4:K5"/>
    <mergeCell ref="K6:K7"/>
    <mergeCell ref="L6:L7"/>
    <mergeCell ref="N6:N7"/>
    <mergeCell ref="O6:O7"/>
    <mergeCell ref="P18:P19"/>
    <mergeCell ref="Q20:Q21"/>
    <mergeCell ref="I18:I19"/>
    <mergeCell ref="J18:J19"/>
    <mergeCell ref="K18:K19"/>
    <mergeCell ref="L18:L19"/>
    <mergeCell ref="N18:N19"/>
    <mergeCell ref="O18:O19"/>
    <mergeCell ref="D16:D21"/>
    <mergeCell ref="F16:F21"/>
    <mergeCell ref="Q18:Q19"/>
    <mergeCell ref="A10:A15"/>
    <mergeCell ref="B10:B15"/>
    <mergeCell ref="C10:C15"/>
    <mergeCell ref="D10:D15"/>
    <mergeCell ref="A4:A9"/>
    <mergeCell ref="G8:G9"/>
    <mergeCell ref="G6:G7"/>
    <mergeCell ref="G4:G5"/>
    <mergeCell ref="F4:F9"/>
    <mergeCell ref="D4:D9"/>
    <mergeCell ref="C4:C9"/>
    <mergeCell ref="B4:B9"/>
    <mergeCell ref="G10:G11"/>
    <mergeCell ref="Y2:AB2"/>
    <mergeCell ref="AD2:AD3"/>
    <mergeCell ref="AC2:AC3"/>
    <mergeCell ref="E10:E15"/>
    <mergeCell ref="E16:E21"/>
    <mergeCell ref="E4:E9"/>
    <mergeCell ref="G20:G21"/>
    <mergeCell ref="G18:G19"/>
    <mergeCell ref="A2:A3"/>
    <mergeCell ref="G2:G3"/>
    <mergeCell ref="F2:F3"/>
    <mergeCell ref="E2:E3"/>
    <mergeCell ref="D2:D3"/>
    <mergeCell ref="C2:C3"/>
    <mergeCell ref="B2:B3"/>
    <mergeCell ref="U2:X2"/>
    <mergeCell ref="R2:T2"/>
    <mergeCell ref="G12:G13"/>
    <mergeCell ref="G14:G15"/>
    <mergeCell ref="G16:G17"/>
    <mergeCell ref="F10:F15"/>
    <mergeCell ref="A16:A21"/>
    <mergeCell ref="B16:B21"/>
    <mergeCell ref="C16:C21"/>
    <mergeCell ref="M2:Q2"/>
    <mergeCell ref="H2:L2"/>
    <mergeCell ref="H4:H5"/>
    <mergeCell ref="M4:M5"/>
    <mergeCell ref="H6:H7"/>
    <mergeCell ref="H8:H9"/>
    <mergeCell ref="M6:M7"/>
    <mergeCell ref="M8:M9"/>
    <mergeCell ref="H10:H11"/>
    <mergeCell ref="N8:N9"/>
    <mergeCell ref="O8:O9"/>
    <mergeCell ref="P8:P9"/>
    <mergeCell ref="Q8:Q9"/>
    <mergeCell ref="I8:I9"/>
    <mergeCell ref="J8:J9"/>
    <mergeCell ref="K8:K9"/>
    <mergeCell ref="L8:L9"/>
    <mergeCell ref="I6:I7"/>
    <mergeCell ref="J6:J7"/>
    <mergeCell ref="J4:J5"/>
    <mergeCell ref="I4:I5"/>
    <mergeCell ref="Q4:Q5"/>
    <mergeCell ref="P4:P5"/>
    <mergeCell ref="O4:O5"/>
    <mergeCell ref="H12:H13"/>
    <mergeCell ref="H14:H15"/>
    <mergeCell ref="H16:H17"/>
    <mergeCell ref="H18:H19"/>
    <mergeCell ref="H20:H21"/>
    <mergeCell ref="M10:M11"/>
    <mergeCell ref="M12:M13"/>
    <mergeCell ref="M14:M15"/>
    <mergeCell ref="M16:M17"/>
    <mergeCell ref="M18:M19"/>
    <mergeCell ref="M20:M21"/>
    <mergeCell ref="L20:L21"/>
    <mergeCell ref="I12:I13"/>
    <mergeCell ref="J12:J13"/>
    <mergeCell ref="K12:K13"/>
    <mergeCell ref="L12:L13"/>
    <mergeCell ref="I10:I11"/>
    <mergeCell ref="J10:J11"/>
    <mergeCell ref="K10:K11"/>
    <mergeCell ref="L10:L11"/>
  </mergeCells>
  <phoneticPr fontId="101" type="noConversion"/>
  <pageMargins left="0.5" right="0.5" top="0.5" bottom="0.5" header="0.05" footer="0.05"/>
  <pageSetup scale="46" fitToHeight="0" orientation="landscape" horizontalDpi="1200" verticalDpi="1200"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10"/>
  <sheetViews>
    <sheetView workbookViewId="0">
      <selection activeCell="A2" sqref="A2"/>
    </sheetView>
  </sheetViews>
  <sheetFormatPr defaultColWidth="8.85546875" defaultRowHeight="12.75" x14ac:dyDescent="0.2"/>
  <cols>
    <col min="1" max="1" width="14" style="682" customWidth="1"/>
    <col min="2" max="2" width="8.85546875" style="682"/>
    <col min="3" max="3" width="12.7109375" style="682" customWidth="1"/>
    <col min="4" max="4" width="14.28515625" style="682" customWidth="1"/>
    <col min="5" max="5" width="8.85546875" style="683"/>
    <col min="6" max="6" width="13" style="682" customWidth="1"/>
    <col min="7" max="16384" width="8.85546875" style="682"/>
  </cols>
  <sheetData>
    <row r="1" spans="1:6" ht="41.25" customHeight="1" x14ac:dyDescent="0.2">
      <c r="A1" s="1506" t="s">
        <v>5614</v>
      </c>
      <c r="B1" s="1506"/>
      <c r="C1" s="1506"/>
      <c r="D1" s="1506"/>
      <c r="E1" s="1506"/>
      <c r="F1" s="1506"/>
    </row>
    <row r="2" spans="1:6" ht="15.75" thickBot="1" x14ac:dyDescent="0.25">
      <c r="A2" s="370" t="s">
        <v>2275</v>
      </c>
      <c r="B2" s="370" t="s">
        <v>2276</v>
      </c>
      <c r="C2" s="370" t="s">
        <v>2277</v>
      </c>
      <c r="D2" s="370" t="s">
        <v>2278</v>
      </c>
      <c r="E2" s="370" t="s">
        <v>2279</v>
      </c>
      <c r="F2" s="370" t="s">
        <v>2280</v>
      </c>
    </row>
    <row r="3" spans="1:6" ht="13.5" thickTop="1" x14ac:dyDescent="0.2">
      <c r="A3" s="1505" t="s">
        <v>2281</v>
      </c>
      <c r="B3" s="1505"/>
      <c r="C3" s="1505"/>
      <c r="D3" s="1505"/>
      <c r="E3" s="1505"/>
      <c r="F3" s="1505"/>
    </row>
    <row r="4" spans="1:6" x14ac:dyDescent="0.2">
      <c r="A4" s="147" t="s">
        <v>216</v>
      </c>
      <c r="B4" s="144" t="s">
        <v>2282</v>
      </c>
      <c r="C4" s="144" t="s">
        <v>2283</v>
      </c>
      <c r="D4" s="145">
        <v>1.7365361077111383</v>
      </c>
      <c r="E4" s="148">
        <v>5.4999999999999997E-3</v>
      </c>
      <c r="F4" s="144">
        <v>6</v>
      </c>
    </row>
    <row r="5" spans="1:6" x14ac:dyDescent="0.2">
      <c r="A5" s="147" t="s">
        <v>940</v>
      </c>
      <c r="B5" s="144" t="s">
        <v>2284</v>
      </c>
      <c r="C5" s="144" t="s">
        <v>2285</v>
      </c>
      <c r="D5" s="145">
        <v>2.0364137086903304</v>
      </c>
      <c r="E5" s="148">
        <v>2.3999999999999998E-3</v>
      </c>
      <c r="F5" s="144">
        <v>5</v>
      </c>
    </row>
    <row r="6" spans="1:6" x14ac:dyDescent="0.2">
      <c r="A6" s="1505" t="s">
        <v>2286</v>
      </c>
      <c r="B6" s="1505"/>
      <c r="C6" s="1505"/>
      <c r="D6" s="1505"/>
      <c r="E6" s="1505"/>
      <c r="F6" s="1505"/>
    </row>
    <row r="7" spans="1:6" x14ac:dyDescent="0.2">
      <c r="A7" s="147" t="s">
        <v>216</v>
      </c>
      <c r="B7" s="144" t="s">
        <v>2282</v>
      </c>
      <c r="C7" s="144" t="s">
        <v>2283</v>
      </c>
      <c r="D7" s="145">
        <v>1.2997246022031823</v>
      </c>
      <c r="E7" s="146">
        <v>0.44629999999999997</v>
      </c>
      <c r="F7" s="144">
        <v>5</v>
      </c>
    </row>
    <row r="8" spans="1:6" ht="13.5" thickBot="1" x14ac:dyDescent="0.25">
      <c r="A8" s="149" t="s">
        <v>940</v>
      </c>
      <c r="B8" s="150" t="s">
        <v>2284</v>
      </c>
      <c r="C8" s="150" t="s">
        <v>2285</v>
      </c>
      <c r="D8" s="151">
        <v>2.0058139534883721</v>
      </c>
      <c r="E8" s="152">
        <v>1.1999999999999999E-3</v>
      </c>
      <c r="F8" s="150">
        <v>5</v>
      </c>
    </row>
    <row r="9" spans="1:6" x14ac:dyDescent="0.2">
      <c r="A9" s="624" t="s">
        <v>2287</v>
      </c>
      <c r="E9" s="682"/>
    </row>
    <row r="10" spans="1:6" ht="24" customHeight="1" x14ac:dyDescent="0.2">
      <c r="A10" s="1507" t="s">
        <v>5308</v>
      </c>
      <c r="B10" s="1507"/>
      <c r="C10" s="1507"/>
      <c r="D10" s="1507"/>
      <c r="E10" s="1507"/>
      <c r="F10" s="1507"/>
    </row>
  </sheetData>
  <mergeCells count="4">
    <mergeCell ref="A3:F3"/>
    <mergeCell ref="A6:F6"/>
    <mergeCell ref="A1:F1"/>
    <mergeCell ref="A10:F10"/>
  </mergeCells>
  <conditionalFormatting sqref="F4:F5 F7:F8">
    <cfRule type="cellIs" dxfId="1" priority="1" operator="equal">
      <formula>"No"</formula>
    </cfRule>
    <cfRule type="cellIs" dxfId="0" priority="2" operator="equal">
      <formula>"YES"</formula>
    </cfRule>
    <cfRule type="colorScale" priority="3">
      <colorScale>
        <cfvo type="num" val="#REF!"/>
        <cfvo type="num" val="#REF!"/>
        <color rgb="FFFF7128"/>
        <color theme="6" tint="0.39997558519241921"/>
      </colorScale>
    </cfRule>
  </conditionalFormatting>
  <pageMargins left="0.5" right="0.5" top="0.5" bottom="0.5" header="0.05" footer="0.05"/>
  <pageSetup fitToHeight="0" orientation="portrait" horizontalDpi="1200" verticalDpi="120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154"/>
  <sheetViews>
    <sheetView zoomScale="98" zoomScaleNormal="98" zoomScalePageLayoutView="98" workbookViewId="0">
      <pane ySplit="4" topLeftCell="A92" activePane="bottomLeft" state="frozen"/>
      <selection activeCell="A114" sqref="A114:XFD117"/>
      <selection pane="bottomLeft" activeCell="D93" sqref="D93"/>
    </sheetView>
  </sheetViews>
  <sheetFormatPr defaultColWidth="8.85546875" defaultRowHeight="15" x14ac:dyDescent="0.25"/>
  <cols>
    <col min="1" max="1" width="14.85546875" style="470" customWidth="1"/>
    <col min="2" max="2" width="11.7109375" style="470" customWidth="1"/>
    <col min="3" max="3" width="10.28515625" style="470" customWidth="1"/>
    <col min="4" max="4" width="12.7109375" style="470" bestFit="1" customWidth="1"/>
    <col min="5" max="5" width="12.28515625" style="470" bestFit="1" customWidth="1"/>
    <col min="6" max="6" width="8" style="470" bestFit="1" customWidth="1"/>
    <col min="7" max="7" width="6.28515625" style="470" bestFit="1" customWidth="1"/>
    <col min="8" max="8" width="11.28515625" style="470" bestFit="1" customWidth="1"/>
    <col min="9" max="9" width="9.28515625" style="470" bestFit="1" customWidth="1"/>
    <col min="10" max="10" width="15.7109375" style="470" bestFit="1" customWidth="1"/>
    <col min="11" max="11" width="11.85546875" style="470" bestFit="1" customWidth="1"/>
    <col min="12" max="12" width="15" style="470" bestFit="1" customWidth="1"/>
    <col min="13" max="13" width="12.7109375" style="470" bestFit="1" customWidth="1"/>
    <col min="14" max="14" width="11.140625" style="470" bestFit="1" customWidth="1"/>
    <col min="15" max="15" width="10.7109375" style="470" bestFit="1" customWidth="1"/>
    <col min="16" max="16" width="15.7109375" style="470" bestFit="1" customWidth="1"/>
    <col min="17" max="17" width="11.85546875" style="470" bestFit="1" customWidth="1"/>
    <col min="18" max="18" width="15.85546875" style="470" customWidth="1"/>
    <col min="19" max="19" width="13.28515625" style="470" bestFit="1" customWidth="1"/>
    <col min="20" max="21" width="6.28515625" style="470" bestFit="1" customWidth="1"/>
    <col min="22" max="22" width="11.28515625" style="470" bestFit="1" customWidth="1"/>
    <col min="23" max="23" width="10.28515625" style="470" customWidth="1"/>
    <col min="24" max="24" width="16.7109375" style="470" bestFit="1" customWidth="1"/>
    <col min="25" max="25" width="13.140625" style="470" bestFit="1" customWidth="1"/>
    <col min="26" max="27" width="8.85546875" style="470"/>
    <col min="28" max="28" width="16" style="470" bestFit="1" customWidth="1"/>
    <col min="29" max="29" width="12.28515625" style="470" bestFit="1" customWidth="1"/>
    <col min="30" max="30" width="10.28515625" style="470" customWidth="1"/>
    <col min="31" max="31" width="10" style="470" customWidth="1"/>
    <col min="32" max="16384" width="8.85546875" style="470"/>
  </cols>
  <sheetData>
    <row r="1" spans="1:31" ht="24.75" customHeight="1" x14ac:dyDescent="0.25">
      <c r="A1" s="1120" t="s">
        <v>5906</v>
      </c>
    </row>
    <row r="2" spans="1:31" x14ac:dyDescent="0.25">
      <c r="A2" s="1514" t="s">
        <v>2288</v>
      </c>
      <c r="B2" s="1515"/>
      <c r="C2" s="1515"/>
      <c r="D2" s="1515"/>
      <c r="E2" s="1515"/>
      <c r="F2" s="1515"/>
      <c r="G2" s="1515"/>
      <c r="H2" s="1515"/>
      <c r="I2" s="1515"/>
      <c r="J2" s="1515"/>
      <c r="K2" s="1515"/>
      <c r="L2" s="1514" t="s">
        <v>2289</v>
      </c>
      <c r="M2" s="1515"/>
      <c r="N2" s="1515"/>
      <c r="O2" s="1515"/>
      <c r="P2" s="1515"/>
      <c r="Q2" s="1518"/>
      <c r="R2" s="1515" t="s">
        <v>2290</v>
      </c>
      <c r="S2" s="1515"/>
      <c r="T2" s="1515"/>
      <c r="U2" s="1515"/>
      <c r="V2" s="1515"/>
      <c r="W2" s="1518"/>
      <c r="X2" s="1520" t="s">
        <v>2291</v>
      </c>
      <c r="Y2" s="1521"/>
      <c r="Z2" s="1508" t="s">
        <v>2292</v>
      </c>
      <c r="AA2" s="1509"/>
      <c r="AB2" s="1522" t="s">
        <v>2293</v>
      </c>
      <c r="AC2" s="1523"/>
      <c r="AD2" s="1508" t="s">
        <v>2294</v>
      </c>
      <c r="AE2" s="1509"/>
    </row>
    <row r="3" spans="1:31" x14ac:dyDescent="0.25">
      <c r="A3" s="1516"/>
      <c r="B3" s="1517"/>
      <c r="C3" s="1517"/>
      <c r="D3" s="1517"/>
      <c r="E3" s="1517"/>
      <c r="F3" s="1517"/>
      <c r="G3" s="1517"/>
      <c r="H3" s="1517"/>
      <c r="I3" s="1517"/>
      <c r="J3" s="1517"/>
      <c r="K3" s="1517"/>
      <c r="L3" s="1516"/>
      <c r="M3" s="1517"/>
      <c r="N3" s="1517"/>
      <c r="O3" s="1517"/>
      <c r="P3" s="1517"/>
      <c r="Q3" s="1519"/>
      <c r="R3" s="1517"/>
      <c r="S3" s="1517"/>
      <c r="T3" s="1517"/>
      <c r="U3" s="1517"/>
      <c r="V3" s="1517"/>
      <c r="W3" s="1519"/>
      <c r="X3" s="1512"/>
      <c r="Y3" s="1513"/>
      <c r="Z3" s="1510" t="s">
        <v>2295</v>
      </c>
      <c r="AA3" s="1511"/>
      <c r="AB3" s="1524"/>
      <c r="AC3" s="1525"/>
      <c r="AD3" s="1512" t="s">
        <v>2295</v>
      </c>
      <c r="AE3" s="1513"/>
    </row>
    <row r="4" spans="1:31" s="471" customFormat="1" ht="33" thickBot="1" x14ac:dyDescent="0.3">
      <c r="A4" s="472" t="s">
        <v>2</v>
      </c>
      <c r="B4" s="473" t="s">
        <v>3</v>
      </c>
      <c r="C4" s="474" t="s">
        <v>997</v>
      </c>
      <c r="D4" s="472" t="s">
        <v>2296</v>
      </c>
      <c r="E4" s="475" t="s">
        <v>2297</v>
      </c>
      <c r="F4" s="476" t="s">
        <v>2298</v>
      </c>
      <c r="G4" s="477" t="s">
        <v>659</v>
      </c>
      <c r="H4" s="478" t="s">
        <v>2299</v>
      </c>
      <c r="I4" s="479" t="s">
        <v>2300</v>
      </c>
      <c r="J4" s="478" t="s">
        <v>2301</v>
      </c>
      <c r="K4" s="479" t="s">
        <v>2302</v>
      </c>
      <c r="L4" s="480" t="s">
        <v>2303</v>
      </c>
      <c r="M4" s="481" t="s">
        <v>3</v>
      </c>
      <c r="N4" s="478" t="s">
        <v>2299</v>
      </c>
      <c r="O4" s="479" t="s">
        <v>2300</v>
      </c>
      <c r="P4" s="478" t="s">
        <v>2301</v>
      </c>
      <c r="Q4" s="482" t="s">
        <v>2302</v>
      </c>
      <c r="R4" s="483" t="s">
        <v>2303</v>
      </c>
      <c r="S4" s="481" t="s">
        <v>3</v>
      </c>
      <c r="T4" s="484" t="s">
        <v>2304</v>
      </c>
      <c r="U4" s="485" t="s">
        <v>659</v>
      </c>
      <c r="V4" s="486" t="s">
        <v>2299</v>
      </c>
      <c r="W4" s="487" t="s">
        <v>2300</v>
      </c>
      <c r="X4" s="488" t="s">
        <v>2305</v>
      </c>
      <c r="Y4" s="479" t="s">
        <v>2306</v>
      </c>
      <c r="Z4" s="489" t="s">
        <v>2307</v>
      </c>
      <c r="AA4" s="490" t="s">
        <v>2308</v>
      </c>
      <c r="AB4" s="486" t="s">
        <v>2309</v>
      </c>
      <c r="AC4" s="487" t="s">
        <v>2310</v>
      </c>
      <c r="AD4" s="491" t="s">
        <v>2307</v>
      </c>
      <c r="AE4" s="490" t="s">
        <v>2308</v>
      </c>
    </row>
    <row r="5" spans="1:31" ht="15.75" thickTop="1" x14ac:dyDescent="0.25">
      <c r="A5" s="426" t="s">
        <v>13</v>
      </c>
      <c r="K5" s="492"/>
      <c r="Q5" s="492"/>
      <c r="R5" s="493"/>
      <c r="X5" s="409"/>
      <c r="AA5" s="492"/>
      <c r="AE5" s="492"/>
    </row>
    <row r="6" spans="1:31" x14ac:dyDescent="0.25">
      <c r="A6" s="415" t="s">
        <v>21</v>
      </c>
      <c r="B6" s="415" t="s">
        <v>22</v>
      </c>
      <c r="C6" s="421" t="s">
        <v>18</v>
      </c>
      <c r="D6" s="423" t="s">
        <v>25</v>
      </c>
      <c r="E6" s="494" t="s">
        <v>2311</v>
      </c>
      <c r="F6" s="415" t="s">
        <v>984</v>
      </c>
      <c r="G6" s="414">
        <v>0.28636</v>
      </c>
      <c r="H6" s="415">
        <v>0.749</v>
      </c>
      <c r="I6" s="413">
        <v>6.0300000000000004E-45</v>
      </c>
      <c r="J6" s="414">
        <v>0.34810000000000002</v>
      </c>
      <c r="K6" s="408">
        <v>1.7960000000000001E-23</v>
      </c>
      <c r="L6" s="415" t="s">
        <v>35</v>
      </c>
      <c r="M6" s="415" t="s">
        <v>35</v>
      </c>
      <c r="N6" s="415" t="s">
        <v>35</v>
      </c>
      <c r="O6" s="415" t="s">
        <v>35</v>
      </c>
      <c r="P6" s="415" t="s">
        <v>35</v>
      </c>
      <c r="Q6" s="425" t="s">
        <v>35</v>
      </c>
      <c r="R6" s="409" t="s">
        <v>2312</v>
      </c>
      <c r="S6" s="415" t="s">
        <v>2313</v>
      </c>
      <c r="T6" s="415" t="s">
        <v>980</v>
      </c>
      <c r="U6" s="414">
        <v>0.2487</v>
      </c>
      <c r="V6" s="414">
        <v>-1.32</v>
      </c>
      <c r="W6" s="413">
        <v>1.8700000000000001E-176</v>
      </c>
      <c r="X6" s="406">
        <v>-1.19</v>
      </c>
      <c r="Y6" s="413">
        <v>1.1529999999999999E-154</v>
      </c>
      <c r="Z6" s="412">
        <v>0.11964900000000001</v>
      </c>
      <c r="AA6" s="402">
        <v>0.949075</v>
      </c>
      <c r="AB6" s="415" t="s">
        <v>35</v>
      </c>
      <c r="AC6" s="415" t="s">
        <v>35</v>
      </c>
      <c r="AD6" s="415" t="s">
        <v>35</v>
      </c>
      <c r="AE6" s="425" t="s">
        <v>35</v>
      </c>
    </row>
    <row r="7" spans="1:31" x14ac:dyDescent="0.25">
      <c r="A7" s="415" t="s">
        <v>36</v>
      </c>
      <c r="B7" s="415" t="s">
        <v>37</v>
      </c>
      <c r="C7" s="421" t="s">
        <v>38</v>
      </c>
      <c r="D7" s="423" t="s">
        <v>39</v>
      </c>
      <c r="E7" s="494" t="s">
        <v>38</v>
      </c>
      <c r="F7" s="415" t="s">
        <v>978</v>
      </c>
      <c r="G7" s="414">
        <v>8.1170000000000006E-2</v>
      </c>
      <c r="H7" s="415">
        <v>0.73199999999999998</v>
      </c>
      <c r="I7" s="413">
        <v>3.7799999999999998E-16</v>
      </c>
      <c r="J7" s="414">
        <v>6.4640000000000003E-2</v>
      </c>
      <c r="K7" s="408">
        <v>0.67300000000000004</v>
      </c>
      <c r="L7" s="415" t="s">
        <v>35</v>
      </c>
      <c r="M7" s="415" t="s">
        <v>35</v>
      </c>
      <c r="N7" s="415" t="s">
        <v>35</v>
      </c>
      <c r="O7" s="415" t="s">
        <v>35</v>
      </c>
      <c r="P7" s="415" t="s">
        <v>35</v>
      </c>
      <c r="Q7" s="425" t="s">
        <v>35</v>
      </c>
      <c r="R7" s="409" t="s">
        <v>2314</v>
      </c>
      <c r="S7" s="415" t="s">
        <v>2315</v>
      </c>
      <c r="T7" s="415" t="s">
        <v>983</v>
      </c>
      <c r="U7" s="414">
        <v>8.8410000000000002E-2</v>
      </c>
      <c r="V7" s="414">
        <v>0.83399999999999996</v>
      </c>
      <c r="W7" s="413">
        <v>5.1000000000000002E-22</v>
      </c>
      <c r="X7" s="406">
        <v>0.77569999999999995</v>
      </c>
      <c r="Y7" s="413">
        <v>2.4509999999999999E-7</v>
      </c>
      <c r="Z7" s="412">
        <v>0.67003900000000005</v>
      </c>
      <c r="AA7" s="402">
        <v>0.857155</v>
      </c>
      <c r="AB7" s="415" t="s">
        <v>35</v>
      </c>
      <c r="AC7" s="415" t="s">
        <v>35</v>
      </c>
      <c r="AD7" s="415" t="s">
        <v>35</v>
      </c>
      <c r="AE7" s="425" t="s">
        <v>35</v>
      </c>
    </row>
    <row r="8" spans="1:31" x14ac:dyDescent="0.25">
      <c r="A8" s="415" t="s">
        <v>36</v>
      </c>
      <c r="B8" s="415" t="s">
        <v>37</v>
      </c>
      <c r="C8" s="421" t="s">
        <v>38</v>
      </c>
      <c r="D8" s="423" t="s">
        <v>39</v>
      </c>
      <c r="E8" s="494" t="s">
        <v>2316</v>
      </c>
      <c r="F8" s="415" t="s">
        <v>978</v>
      </c>
      <c r="G8" s="414">
        <v>8.1170000000000006E-2</v>
      </c>
      <c r="H8" s="415">
        <v>-0.46899999999999997</v>
      </c>
      <c r="I8" s="413">
        <v>2.4200000000000002E-7</v>
      </c>
      <c r="J8" s="414">
        <v>-0.4093</v>
      </c>
      <c r="K8" s="408">
        <v>5.9610000000000002E-6</v>
      </c>
      <c r="L8" s="409" t="s">
        <v>2317</v>
      </c>
      <c r="M8" s="415" t="s">
        <v>1012</v>
      </c>
      <c r="N8" s="415">
        <v>-0.25800000000000001</v>
      </c>
      <c r="O8" s="413">
        <v>3.8299999999999998E-6</v>
      </c>
      <c r="P8" s="415">
        <v>-0.247</v>
      </c>
      <c r="Q8" s="408">
        <v>7.0119999999999999E-6</v>
      </c>
      <c r="R8" s="409" t="s">
        <v>2318</v>
      </c>
      <c r="S8" s="415" t="s">
        <v>2319</v>
      </c>
      <c r="T8" s="415" t="s">
        <v>978</v>
      </c>
      <c r="U8" s="414">
        <v>0.27302999999999999</v>
      </c>
      <c r="V8" s="414">
        <v>0.309</v>
      </c>
      <c r="W8" s="413">
        <v>4.1299999999999999E-8</v>
      </c>
      <c r="X8" s="406">
        <v>0.27139999999999997</v>
      </c>
      <c r="Y8" s="413">
        <v>1.359E-6</v>
      </c>
      <c r="Z8" s="412">
        <v>1.49655E-2</v>
      </c>
      <c r="AA8" s="402">
        <v>0.25204799999999999</v>
      </c>
      <c r="AB8" s="414">
        <v>0.29370000000000002</v>
      </c>
      <c r="AC8" s="413">
        <v>1.3729999999999999E-7</v>
      </c>
      <c r="AD8" s="412">
        <v>1.60351E-3</v>
      </c>
      <c r="AE8" s="402">
        <v>4.4670799999999997E-2</v>
      </c>
    </row>
    <row r="9" spans="1:31" x14ac:dyDescent="0.25">
      <c r="A9" s="415" t="s">
        <v>41</v>
      </c>
      <c r="B9" s="415" t="s">
        <v>42</v>
      </c>
      <c r="C9" s="421" t="s">
        <v>43</v>
      </c>
      <c r="D9" s="423" t="s">
        <v>44</v>
      </c>
      <c r="E9" s="494" t="s">
        <v>2320</v>
      </c>
      <c r="F9" s="415" t="s">
        <v>978</v>
      </c>
      <c r="G9" s="414">
        <v>0.30663000000000001</v>
      </c>
      <c r="H9" s="415">
        <v>0.26600000000000001</v>
      </c>
      <c r="I9" s="413">
        <v>1.3599999999999999E-6</v>
      </c>
      <c r="J9" s="414">
        <v>-6.4699999999999994E-2</v>
      </c>
      <c r="K9" s="408">
        <v>0.2681</v>
      </c>
      <c r="L9" s="409" t="s">
        <v>2321</v>
      </c>
      <c r="M9" s="415" t="s">
        <v>45</v>
      </c>
      <c r="N9" s="415">
        <v>0.26</v>
      </c>
      <c r="O9" s="413">
        <v>1.8400000000000001E-7</v>
      </c>
      <c r="P9" s="415">
        <v>-0.17419999999999999</v>
      </c>
      <c r="Q9" s="408">
        <v>3.3409999999999998E-3</v>
      </c>
      <c r="R9" s="409" t="s">
        <v>2322</v>
      </c>
      <c r="S9" s="415" t="s">
        <v>2323</v>
      </c>
      <c r="T9" s="415" t="s">
        <v>980</v>
      </c>
      <c r="U9" s="414">
        <v>0.35196</v>
      </c>
      <c r="V9" s="414">
        <v>-0.58599999999999997</v>
      </c>
      <c r="W9" s="413">
        <v>1.66E-32</v>
      </c>
      <c r="X9" s="406">
        <v>-0.61990000000000001</v>
      </c>
      <c r="Y9" s="413">
        <v>4.9089999999999996E-28</v>
      </c>
      <c r="Z9" s="412">
        <v>0.24001600000000001</v>
      </c>
      <c r="AA9" s="402">
        <v>1</v>
      </c>
      <c r="AB9" s="414">
        <v>-0.70040000000000002</v>
      </c>
      <c r="AC9" s="413">
        <v>2.5229999999999999E-28</v>
      </c>
      <c r="AD9" s="412">
        <v>0.399814</v>
      </c>
      <c r="AE9" s="402">
        <v>1</v>
      </c>
    </row>
    <row r="10" spans="1:31" x14ac:dyDescent="0.25">
      <c r="A10" s="415" t="s">
        <v>46</v>
      </c>
      <c r="B10" s="415" t="s">
        <v>47</v>
      </c>
      <c r="C10" s="421" t="s">
        <v>48</v>
      </c>
      <c r="D10" s="423" t="s">
        <v>49</v>
      </c>
      <c r="E10" s="494" t="s">
        <v>2324</v>
      </c>
      <c r="F10" s="415" t="s">
        <v>980</v>
      </c>
      <c r="G10" s="414">
        <v>0.11298999999999999</v>
      </c>
      <c r="H10" s="415">
        <v>-0.65300000000000002</v>
      </c>
      <c r="I10" s="413">
        <v>1.16E-17</v>
      </c>
      <c r="J10" s="414">
        <v>-0.1195</v>
      </c>
      <c r="K10" s="408">
        <v>0.4284</v>
      </c>
      <c r="L10" s="415" t="s">
        <v>35</v>
      </c>
      <c r="M10" s="415" t="s">
        <v>35</v>
      </c>
      <c r="N10" s="415" t="s">
        <v>35</v>
      </c>
      <c r="O10" s="415" t="s">
        <v>35</v>
      </c>
      <c r="P10" s="415" t="s">
        <v>35</v>
      </c>
      <c r="Q10" s="425" t="s">
        <v>35</v>
      </c>
      <c r="R10" s="409" t="s">
        <v>2325</v>
      </c>
      <c r="S10" s="415" t="s">
        <v>2326</v>
      </c>
      <c r="T10" s="415" t="s">
        <v>978</v>
      </c>
      <c r="U10" s="414">
        <v>0.11429</v>
      </c>
      <c r="V10" s="414">
        <v>-0.71399999999999997</v>
      </c>
      <c r="W10" s="413">
        <v>4.0999999999999999E-21</v>
      </c>
      <c r="X10" s="406">
        <v>-0.61339999999999995</v>
      </c>
      <c r="Y10" s="413">
        <v>4.9329999999999997E-5</v>
      </c>
      <c r="Z10" s="412">
        <v>0.74458000000000002</v>
      </c>
      <c r="AA10" s="402">
        <v>0.86847200000000002</v>
      </c>
      <c r="AB10" s="415" t="s">
        <v>35</v>
      </c>
      <c r="AC10" s="415" t="s">
        <v>35</v>
      </c>
      <c r="AD10" s="415" t="s">
        <v>35</v>
      </c>
      <c r="AE10" s="425" t="s">
        <v>35</v>
      </c>
    </row>
    <row r="11" spans="1:31" x14ac:dyDescent="0.25">
      <c r="A11" s="415" t="s">
        <v>46</v>
      </c>
      <c r="B11" s="415" t="s">
        <v>47</v>
      </c>
      <c r="C11" s="421" t="s">
        <v>48</v>
      </c>
      <c r="D11" s="423" t="s">
        <v>49</v>
      </c>
      <c r="E11" s="494" t="s">
        <v>2327</v>
      </c>
      <c r="F11" s="415" t="s">
        <v>980</v>
      </c>
      <c r="G11" s="414">
        <v>0.11298999999999999</v>
      </c>
      <c r="H11" s="415">
        <v>0.495</v>
      </c>
      <c r="I11" s="413">
        <v>1.4800000000000001E-10</v>
      </c>
      <c r="J11" s="414">
        <v>0.22500000000000001</v>
      </c>
      <c r="K11" s="408">
        <v>1.941E-3</v>
      </c>
      <c r="L11" s="415" t="s">
        <v>35</v>
      </c>
      <c r="M11" s="415" t="s">
        <v>35</v>
      </c>
      <c r="N11" s="415" t="s">
        <v>35</v>
      </c>
      <c r="O11" s="415" t="s">
        <v>35</v>
      </c>
      <c r="P11" s="415" t="s">
        <v>35</v>
      </c>
      <c r="Q11" s="425" t="s">
        <v>35</v>
      </c>
      <c r="R11" s="409" t="s">
        <v>2328</v>
      </c>
      <c r="S11" s="415" t="s">
        <v>2329</v>
      </c>
      <c r="T11" s="415" t="s">
        <v>972</v>
      </c>
      <c r="U11" s="414">
        <v>0.34621000000000002</v>
      </c>
      <c r="V11" s="414">
        <v>0.68</v>
      </c>
      <c r="W11" s="413">
        <v>2.35E-40</v>
      </c>
      <c r="X11" s="406">
        <v>0.63439999999999996</v>
      </c>
      <c r="Y11" s="413">
        <v>1.7959999999999999E-33</v>
      </c>
      <c r="Z11" s="412">
        <v>6.8588800000000005E-2</v>
      </c>
      <c r="AA11" s="402">
        <v>1</v>
      </c>
      <c r="AB11" s="415" t="s">
        <v>35</v>
      </c>
      <c r="AC11" s="415" t="s">
        <v>35</v>
      </c>
      <c r="AD11" s="415" t="s">
        <v>35</v>
      </c>
      <c r="AE11" s="425" t="s">
        <v>35</v>
      </c>
    </row>
    <row r="12" spans="1:31" x14ac:dyDescent="0.25">
      <c r="A12" s="495" t="s">
        <v>46</v>
      </c>
      <c r="B12" s="495" t="s">
        <v>47</v>
      </c>
      <c r="C12" s="429" t="s">
        <v>48</v>
      </c>
      <c r="D12" s="496" t="s">
        <v>49</v>
      </c>
      <c r="E12" s="497" t="s">
        <v>2330</v>
      </c>
      <c r="F12" s="495" t="s">
        <v>980</v>
      </c>
      <c r="G12" s="498">
        <v>0.11298999999999999</v>
      </c>
      <c r="H12" s="495">
        <v>0.42299999999999999</v>
      </c>
      <c r="I12" s="499">
        <v>4.5400000000000003E-8</v>
      </c>
      <c r="J12" s="498">
        <v>-0.39829999999999999</v>
      </c>
      <c r="K12" s="500">
        <v>0.35580000000000001</v>
      </c>
      <c r="L12" s="495" t="s">
        <v>35</v>
      </c>
      <c r="M12" s="495" t="s">
        <v>35</v>
      </c>
      <c r="N12" s="495" t="s">
        <v>35</v>
      </c>
      <c r="O12" s="495" t="s">
        <v>35</v>
      </c>
      <c r="P12" s="495" t="s">
        <v>35</v>
      </c>
      <c r="Q12" s="495" t="s">
        <v>35</v>
      </c>
      <c r="R12" s="501" t="s">
        <v>2331</v>
      </c>
      <c r="S12" s="495" t="s">
        <v>2332</v>
      </c>
      <c r="T12" s="495" t="s">
        <v>980</v>
      </c>
      <c r="U12" s="498">
        <v>0.10946</v>
      </c>
      <c r="V12" s="498">
        <v>-0.44800000000000001</v>
      </c>
      <c r="W12" s="499">
        <v>1.04E-8</v>
      </c>
      <c r="X12" s="502">
        <v>-0.84499999999999997</v>
      </c>
      <c r="Y12" s="499">
        <v>5.2409999999999998E-2</v>
      </c>
      <c r="Z12" s="420">
        <v>0.96772199999999997</v>
      </c>
      <c r="AA12" s="503">
        <v>1</v>
      </c>
      <c r="AB12" s="495" t="s">
        <v>35</v>
      </c>
      <c r="AC12" s="495" t="s">
        <v>35</v>
      </c>
      <c r="AD12" s="495" t="s">
        <v>35</v>
      </c>
      <c r="AE12" s="504" t="s">
        <v>35</v>
      </c>
    </row>
    <row r="13" spans="1:31" x14ac:dyDescent="0.25">
      <c r="A13" s="415" t="s">
        <v>46</v>
      </c>
      <c r="B13" s="415" t="s">
        <v>47</v>
      </c>
      <c r="C13" s="421" t="s">
        <v>48</v>
      </c>
      <c r="D13" s="423" t="s">
        <v>49</v>
      </c>
      <c r="E13" s="494" t="s">
        <v>2333</v>
      </c>
      <c r="F13" s="415" t="s">
        <v>980</v>
      </c>
      <c r="G13" s="414">
        <v>0.11298999999999999</v>
      </c>
      <c r="H13" s="415">
        <v>0.46800000000000003</v>
      </c>
      <c r="I13" s="413">
        <v>1.32E-9</v>
      </c>
      <c r="J13" s="414">
        <v>4.7899999999999998E-2</v>
      </c>
      <c r="K13" s="408">
        <v>0.40489999999999998</v>
      </c>
      <c r="L13" s="415" t="s">
        <v>35</v>
      </c>
      <c r="M13" s="415" t="s">
        <v>35</v>
      </c>
      <c r="N13" s="415" t="s">
        <v>35</v>
      </c>
      <c r="O13" s="415" t="s">
        <v>35</v>
      </c>
      <c r="P13" s="415" t="s">
        <v>35</v>
      </c>
      <c r="Q13" s="425" t="s">
        <v>35</v>
      </c>
      <c r="R13" s="409" t="s">
        <v>2334</v>
      </c>
      <c r="S13" s="415" t="s">
        <v>2335</v>
      </c>
      <c r="T13" s="415" t="s">
        <v>2269</v>
      </c>
      <c r="U13" s="414">
        <v>0.46022999999999997</v>
      </c>
      <c r="V13" s="414">
        <v>-0.99199999999999999</v>
      </c>
      <c r="W13" s="413">
        <v>4.6999999999999999E-116</v>
      </c>
      <c r="X13" s="406">
        <v>-0.98229999999999995</v>
      </c>
      <c r="Y13" s="413">
        <v>1.093E-108</v>
      </c>
      <c r="Z13" s="412">
        <v>6.9597999999999993E-2</v>
      </c>
      <c r="AA13" s="402">
        <v>0.68276599999999998</v>
      </c>
      <c r="AB13" s="415" t="s">
        <v>35</v>
      </c>
      <c r="AC13" s="415" t="s">
        <v>35</v>
      </c>
      <c r="AD13" s="415" t="s">
        <v>35</v>
      </c>
      <c r="AE13" s="425" t="s">
        <v>35</v>
      </c>
    </row>
    <row r="14" spans="1:31" x14ac:dyDescent="0.25">
      <c r="A14" s="415" t="s">
        <v>50</v>
      </c>
      <c r="B14" s="415" t="s">
        <v>51</v>
      </c>
      <c r="C14" s="421" t="s">
        <v>915</v>
      </c>
      <c r="D14" s="423" t="s">
        <v>52</v>
      </c>
      <c r="E14" s="494" t="s">
        <v>2336</v>
      </c>
      <c r="F14" s="415" t="s">
        <v>978</v>
      </c>
      <c r="G14" s="414">
        <v>0.4461</v>
      </c>
      <c r="H14" s="415">
        <v>-0.311</v>
      </c>
      <c r="I14" s="413">
        <v>9.4600000000000004E-10</v>
      </c>
      <c r="J14" s="414">
        <v>0.16309999999999999</v>
      </c>
      <c r="K14" s="408">
        <v>8.0390000000000003E-2</v>
      </c>
      <c r="L14" s="409" t="s">
        <v>2337</v>
      </c>
      <c r="M14" s="415" t="s">
        <v>53</v>
      </c>
      <c r="N14" s="415">
        <v>-0.378</v>
      </c>
      <c r="O14" s="413">
        <v>1.19E-13</v>
      </c>
      <c r="P14" s="415">
        <v>4.5789999999999997E-3</v>
      </c>
      <c r="Q14" s="408">
        <v>0.96789999999999998</v>
      </c>
      <c r="R14" s="409" t="s">
        <v>2338</v>
      </c>
      <c r="S14" s="415" t="s">
        <v>2339</v>
      </c>
      <c r="T14" s="415" t="s">
        <v>978</v>
      </c>
      <c r="U14" s="414">
        <v>0.47536</v>
      </c>
      <c r="V14" s="414">
        <v>0.41799999999999998</v>
      </c>
      <c r="W14" s="413">
        <v>8.5400000000000005E-17</v>
      </c>
      <c r="X14" s="406">
        <v>0.56069999999999998</v>
      </c>
      <c r="Y14" s="413">
        <v>2.4899999999999999E-9</v>
      </c>
      <c r="Z14" s="412">
        <v>0.72478799999999999</v>
      </c>
      <c r="AA14" s="402">
        <v>0.99667099999999997</v>
      </c>
      <c r="AB14" s="414">
        <v>0.42670000000000002</v>
      </c>
      <c r="AC14" s="413">
        <v>1.5909999999999999E-4</v>
      </c>
      <c r="AD14" s="412">
        <v>0.79468499999999997</v>
      </c>
      <c r="AE14" s="402">
        <v>0.99690900000000005</v>
      </c>
    </row>
    <row r="15" spans="1:31" x14ac:dyDescent="0.25">
      <c r="A15" s="415" t="s">
        <v>50</v>
      </c>
      <c r="B15" s="415" t="s">
        <v>51</v>
      </c>
      <c r="C15" s="421" t="s">
        <v>915</v>
      </c>
      <c r="D15" s="423" t="s">
        <v>52</v>
      </c>
      <c r="E15" s="494" t="s">
        <v>2340</v>
      </c>
      <c r="F15" s="415" t="s">
        <v>978</v>
      </c>
      <c r="G15" s="414">
        <v>0.4461</v>
      </c>
      <c r="H15" s="415">
        <v>-0.26</v>
      </c>
      <c r="I15" s="413">
        <v>3.5499999999999999E-7</v>
      </c>
      <c r="J15" s="414">
        <v>0.1323</v>
      </c>
      <c r="K15" s="408">
        <v>0.16120000000000001</v>
      </c>
      <c r="L15" s="409" t="s">
        <v>2337</v>
      </c>
      <c r="M15" s="415" t="s">
        <v>53</v>
      </c>
      <c r="N15" s="415">
        <v>-0.26800000000000002</v>
      </c>
      <c r="O15" s="413">
        <v>1.91E-7</v>
      </c>
      <c r="P15" s="415">
        <v>0.25600000000000001</v>
      </c>
      <c r="Q15" s="408">
        <v>2.5579999999999999E-2</v>
      </c>
      <c r="R15" s="409" t="s">
        <v>2341</v>
      </c>
      <c r="S15" s="415" t="s">
        <v>2342</v>
      </c>
      <c r="T15" s="415" t="s">
        <v>979</v>
      </c>
      <c r="U15" s="414">
        <v>0.47463</v>
      </c>
      <c r="V15" s="414">
        <v>-0.34599999999999997</v>
      </c>
      <c r="W15" s="413">
        <v>7.7500000000000007E-12</v>
      </c>
      <c r="X15" s="406">
        <v>-0.45040000000000002</v>
      </c>
      <c r="Y15" s="413">
        <v>2.046E-6</v>
      </c>
      <c r="Z15" s="412">
        <v>0.72289400000000004</v>
      </c>
      <c r="AA15" s="402">
        <v>0.99666500000000002</v>
      </c>
      <c r="AB15" s="414">
        <v>-0.56010000000000004</v>
      </c>
      <c r="AC15" s="413">
        <v>9.0839999999999996E-7</v>
      </c>
      <c r="AD15" s="412">
        <v>0.79260900000000001</v>
      </c>
      <c r="AE15" s="402">
        <v>0.99690299999999998</v>
      </c>
    </row>
    <row r="16" spans="1:31" x14ac:dyDescent="0.25">
      <c r="A16" s="495" t="s">
        <v>50</v>
      </c>
      <c r="B16" s="495" t="s">
        <v>51</v>
      </c>
      <c r="C16" s="429" t="s">
        <v>915</v>
      </c>
      <c r="D16" s="496" t="s">
        <v>52</v>
      </c>
      <c r="E16" s="497" t="s">
        <v>2343</v>
      </c>
      <c r="F16" s="495" t="s">
        <v>978</v>
      </c>
      <c r="G16" s="498">
        <v>0.4461</v>
      </c>
      <c r="H16" s="495">
        <v>-0.46600000000000003</v>
      </c>
      <c r="I16" s="499">
        <v>1.22E-20</v>
      </c>
      <c r="J16" s="498">
        <v>1.1839999999999999</v>
      </c>
      <c r="K16" s="500">
        <v>0.21079999999999999</v>
      </c>
      <c r="L16" s="501" t="s">
        <v>2337</v>
      </c>
      <c r="M16" s="495" t="s">
        <v>53</v>
      </c>
      <c r="N16" s="495">
        <v>-0.28499999999999998</v>
      </c>
      <c r="O16" s="499">
        <v>3.0400000000000001E-8</v>
      </c>
      <c r="P16" s="495">
        <v>0.1308</v>
      </c>
      <c r="Q16" s="500">
        <v>6.8720000000000003E-2</v>
      </c>
      <c r="R16" s="501" t="s">
        <v>2344</v>
      </c>
      <c r="S16" s="495" t="s">
        <v>2345</v>
      </c>
      <c r="T16" s="495" t="s">
        <v>984</v>
      </c>
      <c r="U16" s="498">
        <v>0.44544</v>
      </c>
      <c r="V16" s="498">
        <v>-0.46899999999999997</v>
      </c>
      <c r="W16" s="499">
        <v>5.9399999999999998E-21</v>
      </c>
      <c r="X16" s="502">
        <v>-1.6459999999999999</v>
      </c>
      <c r="Y16" s="499">
        <v>8.1820000000000004E-2</v>
      </c>
      <c r="Z16" s="420">
        <v>0.99737500000000001</v>
      </c>
      <c r="AA16" s="503">
        <v>1</v>
      </c>
      <c r="AB16" s="498">
        <v>-0.56410000000000005</v>
      </c>
      <c r="AC16" s="499">
        <v>7.9379999999999992E-15</v>
      </c>
      <c r="AD16" s="505">
        <v>0.52732000000000001</v>
      </c>
      <c r="AE16" s="503">
        <v>0.76119499999999995</v>
      </c>
    </row>
    <row r="17" spans="1:31" x14ac:dyDescent="0.25">
      <c r="A17" s="415" t="s">
        <v>50</v>
      </c>
      <c r="B17" s="415" t="s">
        <v>51</v>
      </c>
      <c r="C17" s="421" t="s">
        <v>915</v>
      </c>
      <c r="D17" s="423" t="s">
        <v>52</v>
      </c>
      <c r="E17" s="494" t="s">
        <v>2346</v>
      </c>
      <c r="F17" s="415" t="s">
        <v>978</v>
      </c>
      <c r="G17" s="414">
        <v>0.4461</v>
      </c>
      <c r="H17" s="415">
        <v>0.19900000000000001</v>
      </c>
      <c r="I17" s="413">
        <v>1E-4</v>
      </c>
      <c r="J17" s="414">
        <v>4.7600000000000003E-2</v>
      </c>
      <c r="K17" s="408">
        <v>0.40660000000000002</v>
      </c>
      <c r="L17" s="415" t="s">
        <v>35</v>
      </c>
      <c r="M17" s="415" t="s">
        <v>35</v>
      </c>
      <c r="N17" s="415" t="s">
        <v>35</v>
      </c>
      <c r="O17" s="415" t="s">
        <v>35</v>
      </c>
      <c r="P17" s="415" t="s">
        <v>35</v>
      </c>
      <c r="Q17" s="425" t="s">
        <v>35</v>
      </c>
      <c r="R17" s="409" t="s">
        <v>2347</v>
      </c>
      <c r="S17" s="415" t="s">
        <v>2348</v>
      </c>
      <c r="T17" s="415" t="s">
        <v>978</v>
      </c>
      <c r="U17" s="414">
        <v>0.28364</v>
      </c>
      <c r="V17" s="414">
        <v>0.372</v>
      </c>
      <c r="W17" s="413">
        <v>4.5E-11</v>
      </c>
      <c r="X17" s="406">
        <v>0.34460000000000002</v>
      </c>
      <c r="Y17" s="413">
        <v>8.4689999999999999E-8</v>
      </c>
      <c r="Z17" s="412">
        <v>0.26964199999999999</v>
      </c>
      <c r="AA17" s="402">
        <v>0.91925699999999999</v>
      </c>
      <c r="AB17" s="415" t="s">
        <v>35</v>
      </c>
      <c r="AC17" s="415" t="s">
        <v>35</v>
      </c>
      <c r="AD17" s="415" t="s">
        <v>35</v>
      </c>
      <c r="AE17" s="425" t="s">
        <v>35</v>
      </c>
    </row>
    <row r="18" spans="1:31" x14ac:dyDescent="0.25">
      <c r="A18" s="415" t="s">
        <v>50</v>
      </c>
      <c r="B18" s="415" t="s">
        <v>51</v>
      </c>
      <c r="C18" s="421" t="s">
        <v>915</v>
      </c>
      <c r="D18" s="423" t="s">
        <v>52</v>
      </c>
      <c r="E18" s="494" t="s">
        <v>2349</v>
      </c>
      <c r="F18" s="415" t="s">
        <v>978</v>
      </c>
      <c r="G18" s="414">
        <v>0.4461</v>
      </c>
      <c r="H18" s="415">
        <v>0.34200000000000003</v>
      </c>
      <c r="I18" s="413">
        <v>1.68E-11</v>
      </c>
      <c r="J18" s="414">
        <v>-2.2169999999999999E-2</v>
      </c>
      <c r="K18" s="408">
        <v>0.75239999999999996</v>
      </c>
      <c r="L18" s="409" t="s">
        <v>2337</v>
      </c>
      <c r="M18" s="415" t="s">
        <v>53</v>
      </c>
      <c r="N18" s="415">
        <v>0.311</v>
      </c>
      <c r="O18" s="413">
        <v>1.5400000000000001E-9</v>
      </c>
      <c r="P18" s="415">
        <v>6.6449999999999995E-2</v>
      </c>
      <c r="Q18" s="413">
        <v>0.24909999999999999</v>
      </c>
      <c r="R18" s="409" t="s">
        <v>2350</v>
      </c>
      <c r="S18" s="415" t="s">
        <v>2351</v>
      </c>
      <c r="T18" s="415" t="s">
        <v>975</v>
      </c>
      <c r="U18" s="414">
        <v>0.49675000000000002</v>
      </c>
      <c r="V18" s="414">
        <v>0.47799999999999998</v>
      </c>
      <c r="W18" s="413">
        <v>1.11E-22</v>
      </c>
      <c r="X18" s="406">
        <v>0.49320000000000003</v>
      </c>
      <c r="Y18" s="413">
        <v>1.288E-12</v>
      </c>
      <c r="Z18" s="412">
        <v>0.51957600000000004</v>
      </c>
      <c r="AA18" s="402">
        <v>0.80842700000000001</v>
      </c>
      <c r="AB18" s="414">
        <v>0.44600000000000001</v>
      </c>
      <c r="AC18" s="413">
        <v>4.1610000000000004E-15</v>
      </c>
      <c r="AD18" s="412">
        <v>0.26950600000000002</v>
      </c>
      <c r="AE18" s="402">
        <v>0.556176</v>
      </c>
    </row>
    <row r="19" spans="1:31" x14ac:dyDescent="0.25">
      <c r="A19" s="495" t="s">
        <v>50</v>
      </c>
      <c r="B19" s="495" t="s">
        <v>51</v>
      </c>
      <c r="C19" s="429" t="s">
        <v>915</v>
      </c>
      <c r="D19" s="496" t="s">
        <v>52</v>
      </c>
      <c r="E19" s="497" t="s">
        <v>2352</v>
      </c>
      <c r="F19" s="495" t="s">
        <v>978</v>
      </c>
      <c r="G19" s="498">
        <v>0.4461</v>
      </c>
      <c r="H19" s="495">
        <v>-0.51</v>
      </c>
      <c r="I19" s="499">
        <v>1.8499999999999999E-24</v>
      </c>
      <c r="J19" s="498">
        <v>-0.2172</v>
      </c>
      <c r="K19" s="500">
        <v>0.60509999999999997</v>
      </c>
      <c r="L19" s="501" t="s">
        <v>2337</v>
      </c>
      <c r="M19" s="495" t="s">
        <v>53</v>
      </c>
      <c r="N19" s="495">
        <v>-0.3</v>
      </c>
      <c r="O19" s="499">
        <v>5.8200000000000002E-9</v>
      </c>
      <c r="P19" s="495">
        <v>0.1454</v>
      </c>
      <c r="Q19" s="499">
        <v>3.8460000000000001E-2</v>
      </c>
      <c r="R19" s="501" t="s">
        <v>2353</v>
      </c>
      <c r="S19" s="495" t="s">
        <v>2354</v>
      </c>
      <c r="T19" s="495" t="s">
        <v>978</v>
      </c>
      <c r="U19" s="498">
        <v>0.44935000000000003</v>
      </c>
      <c r="V19" s="498">
        <v>-0.51</v>
      </c>
      <c r="W19" s="499">
        <v>1.7800000000000001E-24</v>
      </c>
      <c r="X19" s="502">
        <v>-0.26769999999999999</v>
      </c>
      <c r="Y19" s="499">
        <v>0.5242</v>
      </c>
      <c r="Z19" s="420">
        <v>0.98695500000000003</v>
      </c>
      <c r="AA19" s="503">
        <v>1</v>
      </c>
      <c r="AB19" s="498">
        <v>-0.61890000000000001</v>
      </c>
      <c r="AC19" s="499">
        <v>4.9189999999999998E-18</v>
      </c>
      <c r="AD19" s="505">
        <v>0.51367399999999996</v>
      </c>
      <c r="AE19" s="503">
        <v>0.74538499999999996</v>
      </c>
    </row>
    <row r="20" spans="1:31" x14ac:dyDescent="0.25">
      <c r="A20" s="415" t="s">
        <v>54</v>
      </c>
      <c r="B20" s="415" t="s">
        <v>55</v>
      </c>
      <c r="C20" s="421" t="s">
        <v>916</v>
      </c>
      <c r="D20" s="423" t="s">
        <v>56</v>
      </c>
      <c r="E20" s="494" t="s">
        <v>2336</v>
      </c>
      <c r="F20" s="415" t="s">
        <v>972</v>
      </c>
      <c r="G20" s="414">
        <v>0.42487000000000003</v>
      </c>
      <c r="H20" s="415">
        <v>-0.38</v>
      </c>
      <c r="I20" s="413">
        <v>1.25E-13</v>
      </c>
      <c r="J20" s="414">
        <v>-3.7740000000000003E-2</v>
      </c>
      <c r="K20" s="408">
        <v>0.71120000000000005</v>
      </c>
      <c r="L20" s="409" t="s">
        <v>2337</v>
      </c>
      <c r="M20" s="415" t="s">
        <v>53</v>
      </c>
      <c r="N20" s="415">
        <v>-0.378</v>
      </c>
      <c r="O20" s="413">
        <v>1.19E-13</v>
      </c>
      <c r="P20" s="415">
        <v>4.5789999999999997E-3</v>
      </c>
      <c r="Q20" s="413">
        <v>0.96789999999999998</v>
      </c>
      <c r="R20" s="409" t="s">
        <v>2338</v>
      </c>
      <c r="S20" s="415" t="s">
        <v>2339</v>
      </c>
      <c r="T20" s="415" t="s">
        <v>978</v>
      </c>
      <c r="U20" s="414">
        <v>0.47536</v>
      </c>
      <c r="V20" s="414">
        <v>0.41799999999999998</v>
      </c>
      <c r="W20" s="413">
        <v>8.5400000000000005E-17</v>
      </c>
      <c r="X20" s="406">
        <v>0.39169999999999999</v>
      </c>
      <c r="Y20" s="413">
        <v>9.8159999999999995E-5</v>
      </c>
      <c r="Z20" s="412">
        <v>0.76511099999999999</v>
      </c>
      <c r="AA20" s="402">
        <v>0.96903600000000001</v>
      </c>
      <c r="AB20" s="414">
        <v>0.42670000000000002</v>
      </c>
      <c r="AC20" s="413">
        <v>1.5909999999999999E-4</v>
      </c>
      <c r="AD20" s="412">
        <v>0.79468499999999997</v>
      </c>
      <c r="AE20" s="402">
        <v>0.99690900000000005</v>
      </c>
    </row>
    <row r="21" spans="1:31" x14ac:dyDescent="0.25">
      <c r="A21" s="415" t="s">
        <v>54</v>
      </c>
      <c r="B21" s="415" t="s">
        <v>55</v>
      </c>
      <c r="C21" s="421" t="s">
        <v>916</v>
      </c>
      <c r="D21" s="423" t="s">
        <v>56</v>
      </c>
      <c r="E21" s="494" t="s">
        <v>2340</v>
      </c>
      <c r="F21" s="415" t="s">
        <v>972</v>
      </c>
      <c r="G21" s="414">
        <v>0.42487000000000003</v>
      </c>
      <c r="H21" s="415">
        <v>-0.25900000000000001</v>
      </c>
      <c r="I21" s="413">
        <v>5.9599999999999999E-7</v>
      </c>
      <c r="J21" s="414">
        <v>0.19739999999999999</v>
      </c>
      <c r="K21" s="408">
        <v>5.423E-2</v>
      </c>
      <c r="L21" s="409" t="s">
        <v>2337</v>
      </c>
      <c r="M21" s="415" t="s">
        <v>53</v>
      </c>
      <c r="N21" s="415">
        <v>-0.26800000000000002</v>
      </c>
      <c r="O21" s="413">
        <v>1.91E-7</v>
      </c>
      <c r="P21" s="415">
        <v>0.25600000000000001</v>
      </c>
      <c r="Q21" s="413">
        <v>2.5579999999999999E-2</v>
      </c>
      <c r="R21" s="409" t="s">
        <v>2341</v>
      </c>
      <c r="S21" s="415" t="s">
        <v>2342</v>
      </c>
      <c r="T21" s="415" t="s">
        <v>979</v>
      </c>
      <c r="U21" s="414">
        <v>0.47463</v>
      </c>
      <c r="V21" s="414">
        <v>-0.34599999999999997</v>
      </c>
      <c r="W21" s="413">
        <v>7.7500000000000007E-12</v>
      </c>
      <c r="X21" s="406">
        <v>-0.51270000000000004</v>
      </c>
      <c r="Y21" s="413">
        <v>4.4840000000000002E-7</v>
      </c>
      <c r="Z21" s="412">
        <v>0.76227999999999996</v>
      </c>
      <c r="AA21" s="402">
        <v>0.96598399999999995</v>
      </c>
      <c r="AB21" s="414">
        <v>-0.56010000000000004</v>
      </c>
      <c r="AC21" s="413">
        <v>9.0839999999999996E-7</v>
      </c>
      <c r="AD21" s="412">
        <v>0.79260900000000001</v>
      </c>
      <c r="AE21" s="402">
        <v>0.99690299999999998</v>
      </c>
    </row>
    <row r="22" spans="1:31" x14ac:dyDescent="0.25">
      <c r="A22" s="415" t="s">
        <v>54</v>
      </c>
      <c r="B22" s="415" t="s">
        <v>55</v>
      </c>
      <c r="C22" s="421" t="s">
        <v>916</v>
      </c>
      <c r="D22" s="423" t="s">
        <v>56</v>
      </c>
      <c r="E22" s="494" t="s">
        <v>2355</v>
      </c>
      <c r="F22" s="415" t="s">
        <v>972</v>
      </c>
      <c r="G22" s="414">
        <v>0.42487000000000003</v>
      </c>
      <c r="H22" s="415">
        <v>0.248</v>
      </c>
      <c r="I22" s="413">
        <v>1.73E-6</v>
      </c>
      <c r="J22" s="414">
        <v>0.129</v>
      </c>
      <c r="K22" s="408">
        <v>0.1908</v>
      </c>
      <c r="L22" s="415" t="s">
        <v>35</v>
      </c>
      <c r="M22" s="415" t="s">
        <v>35</v>
      </c>
      <c r="N22" s="415" t="s">
        <v>35</v>
      </c>
      <c r="O22" s="415" t="s">
        <v>35</v>
      </c>
      <c r="P22" s="415" t="s">
        <v>35</v>
      </c>
      <c r="Q22" s="425" t="s">
        <v>35</v>
      </c>
      <c r="R22" s="409" t="s">
        <v>2356</v>
      </c>
      <c r="S22" s="415" t="s">
        <v>2357</v>
      </c>
      <c r="T22" s="415" t="s">
        <v>980</v>
      </c>
      <c r="U22" s="414">
        <v>0.35633999999999999</v>
      </c>
      <c r="V22" s="414">
        <v>0.26400000000000001</v>
      </c>
      <c r="W22" s="413">
        <v>1.0899999999999999E-6</v>
      </c>
      <c r="X22" s="406">
        <v>0.1532</v>
      </c>
      <c r="Y22" s="413">
        <v>0.1361</v>
      </c>
      <c r="Z22" s="412">
        <v>0.74751800000000002</v>
      </c>
      <c r="AA22" s="402">
        <v>0.99659600000000004</v>
      </c>
      <c r="AB22" s="415" t="s">
        <v>35</v>
      </c>
      <c r="AC22" s="415" t="s">
        <v>35</v>
      </c>
      <c r="AD22" s="415" t="s">
        <v>35</v>
      </c>
      <c r="AE22" s="425" t="s">
        <v>35</v>
      </c>
    </row>
    <row r="23" spans="1:31" x14ac:dyDescent="0.25">
      <c r="A23" s="415" t="s">
        <v>54</v>
      </c>
      <c r="B23" s="415" t="s">
        <v>55</v>
      </c>
      <c r="C23" s="421" t="s">
        <v>916</v>
      </c>
      <c r="D23" s="423" t="s">
        <v>56</v>
      </c>
      <c r="E23" s="494" t="s">
        <v>2358</v>
      </c>
      <c r="F23" s="415" t="s">
        <v>972</v>
      </c>
      <c r="G23" s="414">
        <v>0.42487000000000003</v>
      </c>
      <c r="H23" s="415">
        <v>-0.317</v>
      </c>
      <c r="I23" s="413">
        <v>8.4499999999999998E-10</v>
      </c>
      <c r="J23" s="414">
        <v>7.7249999999999999E-2</v>
      </c>
      <c r="K23" s="408">
        <v>0.28999999999999998</v>
      </c>
      <c r="L23" s="506" t="s">
        <v>2337</v>
      </c>
      <c r="M23" s="507" t="s">
        <v>53</v>
      </c>
      <c r="N23" s="507">
        <v>-0.28499999999999998</v>
      </c>
      <c r="O23" s="508">
        <v>3.0400000000000001E-8</v>
      </c>
      <c r="P23" s="507">
        <v>0.1308</v>
      </c>
      <c r="Q23" s="508">
        <v>6.8699999999999997E-2</v>
      </c>
      <c r="R23" s="409" t="s">
        <v>2344</v>
      </c>
      <c r="S23" s="415" t="s">
        <v>2345</v>
      </c>
      <c r="T23" s="415" t="s">
        <v>984</v>
      </c>
      <c r="U23" s="414">
        <v>0.44544</v>
      </c>
      <c r="V23" s="414">
        <v>-0.46899999999999997</v>
      </c>
      <c r="W23" s="413">
        <v>5.9399999999999998E-21</v>
      </c>
      <c r="X23" s="406">
        <v>-0.52180000000000004</v>
      </c>
      <c r="Y23" s="413">
        <v>1.0470000000000001E-12</v>
      </c>
      <c r="Z23" s="412">
        <v>0.55112000000000005</v>
      </c>
      <c r="AA23" s="402">
        <v>0.96409100000000003</v>
      </c>
      <c r="AB23" s="414">
        <v>-0.56410000000000005</v>
      </c>
      <c r="AC23" s="413">
        <v>7.9379999999999992E-15</v>
      </c>
      <c r="AD23" s="412">
        <v>0.52732000000000001</v>
      </c>
      <c r="AE23" s="402">
        <v>0.76119499999999995</v>
      </c>
    </row>
    <row r="24" spans="1:31" x14ac:dyDescent="0.25">
      <c r="A24" s="415" t="s">
        <v>54</v>
      </c>
      <c r="B24" s="415" t="s">
        <v>55</v>
      </c>
      <c r="C24" s="421" t="s">
        <v>916</v>
      </c>
      <c r="D24" s="423" t="s">
        <v>56</v>
      </c>
      <c r="E24" s="494" t="s">
        <v>2349</v>
      </c>
      <c r="F24" s="415" t="s">
        <v>972</v>
      </c>
      <c r="G24" s="414">
        <v>0.42487000000000003</v>
      </c>
      <c r="H24" s="415">
        <v>0.26800000000000002</v>
      </c>
      <c r="I24" s="413">
        <v>2.3099999999999999E-7</v>
      </c>
      <c r="J24" s="414">
        <v>7.2979999999999998E-3</v>
      </c>
      <c r="K24" s="408">
        <v>0.89959999999999996</v>
      </c>
      <c r="L24" s="506" t="s">
        <v>2337</v>
      </c>
      <c r="M24" s="507" t="s">
        <v>53</v>
      </c>
      <c r="N24" s="507">
        <v>0.311</v>
      </c>
      <c r="O24" s="508">
        <v>1.5400000000000001E-9</v>
      </c>
      <c r="P24" s="507">
        <v>6.6449999999999995E-2</v>
      </c>
      <c r="Q24" s="508">
        <v>0.249</v>
      </c>
      <c r="R24" s="409" t="s">
        <v>2350</v>
      </c>
      <c r="S24" s="415" t="s">
        <v>2351</v>
      </c>
      <c r="T24" s="415" t="s">
        <v>975</v>
      </c>
      <c r="U24" s="414">
        <v>0.49675000000000002</v>
      </c>
      <c r="V24" s="414">
        <v>0.47799999999999998</v>
      </c>
      <c r="W24" s="413">
        <v>1.11E-22</v>
      </c>
      <c r="X24" s="406">
        <v>0.47420000000000001</v>
      </c>
      <c r="Y24" s="413">
        <v>7.3910000000000002E-17</v>
      </c>
      <c r="Z24" s="412">
        <v>0.270486</v>
      </c>
      <c r="AA24" s="402">
        <v>0.60142300000000004</v>
      </c>
      <c r="AB24" s="414">
        <v>0.44600000000000001</v>
      </c>
      <c r="AC24" s="413">
        <v>4.1610000000000004E-15</v>
      </c>
      <c r="AD24" s="412">
        <v>0.26950600000000002</v>
      </c>
      <c r="AE24" s="402">
        <v>0.556176</v>
      </c>
    </row>
    <row r="25" spans="1:31" x14ac:dyDescent="0.25">
      <c r="A25" s="415" t="s">
        <v>54</v>
      </c>
      <c r="B25" s="415" t="s">
        <v>55</v>
      </c>
      <c r="C25" s="421" t="s">
        <v>916</v>
      </c>
      <c r="D25" s="423" t="s">
        <v>56</v>
      </c>
      <c r="E25" s="494" t="s">
        <v>2359</v>
      </c>
      <c r="F25" s="415" t="s">
        <v>972</v>
      </c>
      <c r="G25" s="414">
        <v>0.42487000000000003</v>
      </c>
      <c r="H25" s="415">
        <v>-0.20899999999999999</v>
      </c>
      <c r="I25" s="413">
        <v>6.2799999999999995E-5</v>
      </c>
      <c r="J25" s="414">
        <v>-2.7570000000000001E-2</v>
      </c>
      <c r="K25" s="408">
        <v>0.68840000000000001</v>
      </c>
      <c r="L25" s="506" t="s">
        <v>2337</v>
      </c>
      <c r="M25" s="507" t="s">
        <v>53</v>
      </c>
      <c r="N25" s="507">
        <v>-0.191</v>
      </c>
      <c r="O25" s="508">
        <v>2.33E-4</v>
      </c>
      <c r="P25" s="507">
        <v>3.6569999999999998E-2</v>
      </c>
      <c r="Q25" s="508">
        <v>0.61699999999999999</v>
      </c>
      <c r="R25" s="409" t="s">
        <v>2360</v>
      </c>
      <c r="S25" s="415" t="s">
        <v>2361</v>
      </c>
      <c r="T25" s="415" t="s">
        <v>975</v>
      </c>
      <c r="U25" s="414">
        <v>0.37857000000000002</v>
      </c>
      <c r="V25" s="414">
        <v>-0.29299999999999998</v>
      </c>
      <c r="W25" s="413">
        <v>1.74E-8</v>
      </c>
      <c r="X25" s="406">
        <v>-0.27050000000000002</v>
      </c>
      <c r="Y25" s="413">
        <v>9.1990000000000005E-5</v>
      </c>
      <c r="Z25" s="412">
        <v>0.46069700000000002</v>
      </c>
      <c r="AA25" s="402">
        <v>0.747139</v>
      </c>
      <c r="AB25" s="414">
        <v>-0.31719999999999998</v>
      </c>
      <c r="AC25" s="413">
        <v>1.9910000000000001E-5</v>
      </c>
      <c r="AD25" s="412">
        <v>0.51458899999999996</v>
      </c>
      <c r="AE25" s="402">
        <v>0.97827299999999995</v>
      </c>
    </row>
    <row r="26" spans="1:31" x14ac:dyDescent="0.25">
      <c r="A26" s="415" t="s">
        <v>54</v>
      </c>
      <c r="B26" s="415" t="s">
        <v>55</v>
      </c>
      <c r="C26" s="421" t="s">
        <v>916</v>
      </c>
      <c r="D26" s="423" t="s">
        <v>56</v>
      </c>
      <c r="E26" s="494" t="s">
        <v>2352</v>
      </c>
      <c r="F26" s="415" t="s">
        <v>972</v>
      </c>
      <c r="G26" s="414">
        <v>0.42487000000000003</v>
      </c>
      <c r="H26" s="415">
        <v>-0.34499999999999997</v>
      </c>
      <c r="I26" s="413">
        <v>2.3200000000000001E-11</v>
      </c>
      <c r="J26" s="414">
        <v>6.191E-2</v>
      </c>
      <c r="K26" s="408">
        <v>0.38169999999999998</v>
      </c>
      <c r="L26" s="506" t="s">
        <v>2337</v>
      </c>
      <c r="M26" s="507" t="s">
        <v>53</v>
      </c>
      <c r="N26" s="507">
        <v>-0.3</v>
      </c>
      <c r="O26" s="508">
        <v>5.8200000000000002E-9</v>
      </c>
      <c r="P26" s="507">
        <v>0.1454</v>
      </c>
      <c r="Q26" s="508">
        <v>3.85E-2</v>
      </c>
      <c r="R26" s="409" t="s">
        <v>2353</v>
      </c>
      <c r="S26" s="415" t="s">
        <v>2354</v>
      </c>
      <c r="T26" s="415" t="s">
        <v>978</v>
      </c>
      <c r="U26" s="414">
        <v>0.44935000000000003</v>
      </c>
      <c r="V26" s="414">
        <v>-0.51</v>
      </c>
      <c r="W26" s="413">
        <v>1.7800000000000001E-24</v>
      </c>
      <c r="X26" s="406">
        <v>-0.55549999999999999</v>
      </c>
      <c r="Y26" s="413">
        <v>8.0129999999999998E-15</v>
      </c>
      <c r="Z26" s="412">
        <v>0.53292899999999999</v>
      </c>
      <c r="AA26" s="402">
        <v>0.94060600000000005</v>
      </c>
      <c r="AB26" s="414">
        <v>-0.61890000000000001</v>
      </c>
      <c r="AC26" s="413">
        <v>4.9189999999999998E-18</v>
      </c>
      <c r="AD26" s="412">
        <v>0.51367399999999996</v>
      </c>
      <c r="AE26" s="402">
        <v>0.74538499999999996</v>
      </c>
    </row>
    <row r="27" spans="1:31" x14ac:dyDescent="0.25">
      <c r="A27" s="415" t="s">
        <v>71</v>
      </c>
      <c r="B27" s="415" t="s">
        <v>72</v>
      </c>
      <c r="C27" s="421" t="s">
        <v>73</v>
      </c>
      <c r="D27" s="423" t="s">
        <v>74</v>
      </c>
      <c r="E27" s="494" t="s">
        <v>2362</v>
      </c>
      <c r="F27" s="415" t="s">
        <v>980</v>
      </c>
      <c r="G27" s="414">
        <v>0.21493999999999999</v>
      </c>
      <c r="H27" s="415">
        <v>-0.23300000000000001</v>
      </c>
      <c r="I27" s="413">
        <v>1.2400000000000001E-4</v>
      </c>
      <c r="J27" s="414">
        <v>-7.6719999999999997E-2</v>
      </c>
      <c r="K27" s="408">
        <v>0.154</v>
      </c>
      <c r="L27" s="415" t="s">
        <v>35</v>
      </c>
      <c r="M27" s="415" t="s">
        <v>35</v>
      </c>
      <c r="N27" s="415" t="s">
        <v>35</v>
      </c>
      <c r="O27" s="415" t="s">
        <v>35</v>
      </c>
      <c r="P27" s="415" t="s">
        <v>35</v>
      </c>
      <c r="Q27" s="425" t="s">
        <v>35</v>
      </c>
      <c r="R27" s="409" t="s">
        <v>2363</v>
      </c>
      <c r="S27" s="415" t="s">
        <v>2364</v>
      </c>
      <c r="T27" s="415" t="s">
        <v>974</v>
      </c>
      <c r="U27" s="414">
        <v>0.44327</v>
      </c>
      <c r="V27" s="414">
        <v>-0.71799999999999997</v>
      </c>
      <c r="W27" s="413">
        <v>3.1300000000000001E-50</v>
      </c>
      <c r="X27" s="406">
        <v>-0.70589999999999997</v>
      </c>
      <c r="Y27" s="413">
        <v>2.514E-47</v>
      </c>
      <c r="Z27" s="412">
        <v>3.43877E-2</v>
      </c>
      <c r="AA27" s="402">
        <v>0.39699099999999998</v>
      </c>
      <c r="AB27" s="415" t="s">
        <v>35</v>
      </c>
      <c r="AC27" s="415" t="s">
        <v>35</v>
      </c>
      <c r="AD27" s="415" t="s">
        <v>35</v>
      </c>
      <c r="AE27" s="425" t="s">
        <v>35</v>
      </c>
    </row>
    <row r="28" spans="1:31" x14ac:dyDescent="0.25">
      <c r="A28" s="415" t="s">
        <v>71</v>
      </c>
      <c r="B28" s="415" t="s">
        <v>72</v>
      </c>
      <c r="C28" s="421" t="s">
        <v>73</v>
      </c>
      <c r="D28" s="423" t="s">
        <v>74</v>
      </c>
      <c r="E28" s="494" t="s">
        <v>2365</v>
      </c>
      <c r="F28" s="415" t="s">
        <v>980</v>
      </c>
      <c r="G28" s="414">
        <v>0.21493999999999999</v>
      </c>
      <c r="H28" s="415">
        <v>-0.53600000000000003</v>
      </c>
      <c r="I28" s="413">
        <v>1.72E-19</v>
      </c>
      <c r="J28" s="414">
        <v>-0.42359999999999998</v>
      </c>
      <c r="K28" s="408">
        <v>3.5799999999999997E-17</v>
      </c>
      <c r="L28" s="415" t="s">
        <v>35</v>
      </c>
      <c r="M28" s="415" t="s">
        <v>35</v>
      </c>
      <c r="N28" s="415" t="s">
        <v>35</v>
      </c>
      <c r="O28" s="415" t="s">
        <v>35</v>
      </c>
      <c r="P28" s="415" t="s">
        <v>35</v>
      </c>
      <c r="Q28" s="425" t="s">
        <v>35</v>
      </c>
      <c r="R28" s="409" t="s">
        <v>2366</v>
      </c>
      <c r="S28" s="415" t="s">
        <v>2367</v>
      </c>
      <c r="T28" s="415" t="s">
        <v>978</v>
      </c>
      <c r="U28" s="414">
        <v>0.49961</v>
      </c>
      <c r="V28" s="414">
        <v>0.78300000000000003</v>
      </c>
      <c r="W28" s="413">
        <v>3.9400000000000003E-61</v>
      </c>
      <c r="X28" s="406">
        <v>0.73250000000000004</v>
      </c>
      <c r="Y28" s="413">
        <v>2.2279999999999998E-58</v>
      </c>
      <c r="Z28" s="412">
        <v>1.76586E-2</v>
      </c>
      <c r="AA28" s="402">
        <v>0.253637</v>
      </c>
      <c r="AB28" s="415" t="s">
        <v>35</v>
      </c>
      <c r="AC28" s="415" t="s">
        <v>35</v>
      </c>
      <c r="AD28" s="415" t="s">
        <v>35</v>
      </c>
      <c r="AE28" s="425" t="s">
        <v>35</v>
      </c>
    </row>
    <row r="29" spans="1:31" x14ac:dyDescent="0.25">
      <c r="A29" s="415" t="s">
        <v>64</v>
      </c>
      <c r="B29" s="415" t="s">
        <v>65</v>
      </c>
      <c r="C29" s="421" t="s">
        <v>918</v>
      </c>
      <c r="D29" s="423" t="s">
        <v>66</v>
      </c>
      <c r="E29" s="494" t="s">
        <v>919</v>
      </c>
      <c r="F29" s="415" t="s">
        <v>983</v>
      </c>
      <c r="G29" s="414">
        <v>0.21160999999999999</v>
      </c>
      <c r="H29" s="415">
        <v>-0.53800000000000003</v>
      </c>
      <c r="I29" s="413">
        <v>5.2299999999999999E-18</v>
      </c>
      <c r="J29" s="414">
        <v>7.3510000000000006E-2</v>
      </c>
      <c r="K29" s="408">
        <v>0.3609</v>
      </c>
      <c r="L29" s="409" t="s">
        <v>2368</v>
      </c>
      <c r="M29" s="415" t="s">
        <v>67</v>
      </c>
      <c r="N29" s="415">
        <v>0.501</v>
      </c>
      <c r="O29" s="413">
        <v>6.3300000000000004E-25</v>
      </c>
      <c r="P29" s="415">
        <v>0.27079999999999999</v>
      </c>
      <c r="Q29" s="413">
        <v>4.1010000000000001E-8</v>
      </c>
      <c r="R29" s="409" t="s">
        <v>2369</v>
      </c>
      <c r="S29" s="415" t="s">
        <v>2370</v>
      </c>
      <c r="T29" s="415" t="s">
        <v>978</v>
      </c>
      <c r="U29" s="414">
        <v>0.32206000000000001</v>
      </c>
      <c r="V29" s="414">
        <v>0.69499999999999995</v>
      </c>
      <c r="W29" s="413">
        <v>7.5099999999999998E-41</v>
      </c>
      <c r="X29" s="406">
        <v>0.73640000000000005</v>
      </c>
      <c r="Y29" s="413">
        <v>2.328E-24</v>
      </c>
      <c r="Z29" s="412">
        <v>0.49761899999999998</v>
      </c>
      <c r="AA29" s="402">
        <v>0.93829600000000002</v>
      </c>
      <c r="AB29" s="414">
        <v>0.56810000000000005</v>
      </c>
      <c r="AC29" s="413">
        <v>8.5410000000000006E-25</v>
      </c>
      <c r="AD29" s="412">
        <v>0.19381200000000001</v>
      </c>
      <c r="AE29" s="402">
        <v>0.59693300000000005</v>
      </c>
    </row>
    <row r="30" spans="1:31" x14ac:dyDescent="0.25">
      <c r="A30" s="415" t="s">
        <v>68</v>
      </c>
      <c r="B30" s="415" t="s">
        <v>69</v>
      </c>
      <c r="C30" s="421" t="s">
        <v>919</v>
      </c>
      <c r="D30" s="423" t="s">
        <v>70</v>
      </c>
      <c r="E30" s="494" t="s">
        <v>919</v>
      </c>
      <c r="F30" s="415" t="s">
        <v>974</v>
      </c>
      <c r="G30" s="414">
        <v>0.19486000000000001</v>
      </c>
      <c r="H30" s="415">
        <v>-0.46600000000000003</v>
      </c>
      <c r="I30" s="413">
        <v>4.7000000000000002E-13</v>
      </c>
      <c r="J30" s="414">
        <v>0.27450000000000002</v>
      </c>
      <c r="K30" s="408">
        <v>1.07E-3</v>
      </c>
      <c r="L30" s="409" t="s">
        <v>2368</v>
      </c>
      <c r="M30" s="415" t="s">
        <v>67</v>
      </c>
      <c r="N30" s="415">
        <v>0.501</v>
      </c>
      <c r="O30" s="413">
        <v>6.3300000000000004E-25</v>
      </c>
      <c r="P30" s="415">
        <v>0.27079999999999999</v>
      </c>
      <c r="Q30" s="413">
        <v>4.1010000000000001E-8</v>
      </c>
      <c r="R30" s="409" t="s">
        <v>2369</v>
      </c>
      <c r="S30" s="415" t="s">
        <v>2370</v>
      </c>
      <c r="T30" s="415" t="s">
        <v>978</v>
      </c>
      <c r="U30" s="414">
        <v>0.32206000000000001</v>
      </c>
      <c r="V30" s="414">
        <v>0.69499999999999995</v>
      </c>
      <c r="W30" s="413">
        <v>7.5099999999999998E-41</v>
      </c>
      <c r="X30" s="406">
        <v>0.86219999999999997</v>
      </c>
      <c r="Y30" s="413">
        <v>1.662E-31</v>
      </c>
      <c r="Z30" s="412">
        <v>0.50923499999999999</v>
      </c>
      <c r="AA30" s="402">
        <v>1</v>
      </c>
      <c r="AB30" s="414">
        <v>0.56810000000000005</v>
      </c>
      <c r="AC30" s="413">
        <v>8.5410000000000006E-25</v>
      </c>
      <c r="AD30" s="412">
        <v>0.19381200000000001</v>
      </c>
      <c r="AE30" s="402">
        <v>0.59693300000000005</v>
      </c>
    </row>
    <row r="31" spans="1:31" x14ac:dyDescent="0.25">
      <c r="A31" s="415" t="s">
        <v>94</v>
      </c>
      <c r="B31" s="415" t="s">
        <v>95</v>
      </c>
      <c r="C31" s="421" t="s">
        <v>923</v>
      </c>
      <c r="D31" s="423" t="s">
        <v>96</v>
      </c>
      <c r="E31" s="494" t="s">
        <v>923</v>
      </c>
      <c r="F31" s="415" t="s">
        <v>980</v>
      </c>
      <c r="G31" s="414">
        <v>0.46168999999999999</v>
      </c>
      <c r="H31" s="415">
        <v>0.317</v>
      </c>
      <c r="I31" s="413">
        <v>4.7200000000000002E-10</v>
      </c>
      <c r="J31" s="414">
        <v>0.19350000000000001</v>
      </c>
      <c r="K31" s="408">
        <v>6.8940000000000001E-5</v>
      </c>
      <c r="L31" s="409" t="s">
        <v>2371</v>
      </c>
      <c r="M31" s="415" t="s">
        <v>1019</v>
      </c>
      <c r="N31" s="415">
        <v>1.22</v>
      </c>
      <c r="O31" s="413">
        <v>3.0199999999999999E-28</v>
      </c>
      <c r="P31" s="415">
        <v>0.22409999999999999</v>
      </c>
      <c r="Q31" s="413">
        <v>0.65339999999999998</v>
      </c>
      <c r="R31" s="409" t="s">
        <v>2372</v>
      </c>
      <c r="S31" s="415" t="s">
        <v>2373</v>
      </c>
      <c r="T31" s="415" t="s">
        <v>972</v>
      </c>
      <c r="U31" s="414">
        <v>5.4879999999999998E-2</v>
      </c>
      <c r="V31" s="414">
        <v>1.27</v>
      </c>
      <c r="W31" s="413">
        <v>2.6899999999999999E-29</v>
      </c>
      <c r="X31" s="406">
        <v>1.1619999999999999</v>
      </c>
      <c r="Y31" s="413">
        <v>3.2610000000000001E-24</v>
      </c>
      <c r="Z31" s="412">
        <v>6.6420699999999999E-2</v>
      </c>
      <c r="AA31" s="402">
        <v>1</v>
      </c>
      <c r="AB31" s="414">
        <v>1.0089999999999999</v>
      </c>
      <c r="AC31" s="413">
        <v>4.6280000000000002E-2</v>
      </c>
      <c r="AD31" s="420">
        <v>0.93863799999999997</v>
      </c>
      <c r="AE31" s="402">
        <v>0.98720399999999997</v>
      </c>
    </row>
    <row r="32" spans="1:31" x14ac:dyDescent="0.25">
      <c r="A32" s="415" t="s">
        <v>94</v>
      </c>
      <c r="B32" s="415" t="s">
        <v>95</v>
      </c>
      <c r="C32" s="421" t="s">
        <v>923</v>
      </c>
      <c r="D32" s="423" t="s">
        <v>96</v>
      </c>
      <c r="E32" s="494" t="s">
        <v>2028</v>
      </c>
      <c r="F32" s="415" t="s">
        <v>980</v>
      </c>
      <c r="G32" s="414">
        <v>0.46168999999999999</v>
      </c>
      <c r="H32" s="415">
        <v>-0.191</v>
      </c>
      <c r="I32" s="413">
        <v>1.9799999999999999E-4</v>
      </c>
      <c r="J32" s="414">
        <v>1.4670000000000001E-2</v>
      </c>
      <c r="K32" s="408">
        <v>0.6875</v>
      </c>
      <c r="L32" s="409" t="s">
        <v>2374</v>
      </c>
      <c r="M32" s="415" t="s">
        <v>1017</v>
      </c>
      <c r="N32" s="415">
        <v>-0.32900000000000001</v>
      </c>
      <c r="O32" s="413">
        <v>5.7000000000000001E-8</v>
      </c>
      <c r="P32" s="415">
        <v>-3.7789999999999997E-2</v>
      </c>
      <c r="Q32" s="413">
        <v>0.38840000000000002</v>
      </c>
      <c r="R32" s="409" t="s">
        <v>2375</v>
      </c>
      <c r="S32" s="415" t="s">
        <v>2376</v>
      </c>
      <c r="T32" s="415" t="s">
        <v>978</v>
      </c>
      <c r="U32" s="414">
        <v>0.42298000000000002</v>
      </c>
      <c r="V32" s="414">
        <v>-1.05</v>
      </c>
      <c r="W32" s="413">
        <v>1.3200000000000001E-122</v>
      </c>
      <c r="X32" s="406">
        <v>-1.048</v>
      </c>
      <c r="Y32" s="413">
        <v>1.456E-119</v>
      </c>
      <c r="Z32" s="412">
        <v>3.99551E-2</v>
      </c>
      <c r="AA32" s="402">
        <v>0.25189</v>
      </c>
      <c r="AB32" s="414">
        <v>-1.036</v>
      </c>
      <c r="AC32" s="413">
        <v>9.0880000000000001E-116</v>
      </c>
      <c r="AD32" s="412">
        <v>6.5893699999999999E-2</v>
      </c>
      <c r="AE32" s="402">
        <v>0.55858699999999994</v>
      </c>
    </row>
    <row r="33" spans="1:31" x14ac:dyDescent="0.25">
      <c r="A33" s="415" t="s">
        <v>89</v>
      </c>
      <c r="B33" s="415" t="s">
        <v>90</v>
      </c>
      <c r="C33" s="421" t="s">
        <v>91</v>
      </c>
      <c r="D33" s="423" t="s">
        <v>92</v>
      </c>
      <c r="E33" s="494" t="s">
        <v>91</v>
      </c>
      <c r="F33" s="415" t="s">
        <v>986</v>
      </c>
      <c r="G33" s="414">
        <v>0.23118</v>
      </c>
      <c r="H33" s="415">
        <v>0.95399999999999996</v>
      </c>
      <c r="I33" s="413">
        <v>6.4299999999999999E-63</v>
      </c>
      <c r="J33" s="414">
        <v>-8.9209999999999998E-2</v>
      </c>
      <c r="K33" s="408">
        <v>0.1535</v>
      </c>
      <c r="L33" s="415" t="s">
        <v>35</v>
      </c>
      <c r="M33" s="415" t="s">
        <v>35</v>
      </c>
      <c r="N33" s="415" t="s">
        <v>35</v>
      </c>
      <c r="O33" s="415" t="s">
        <v>35</v>
      </c>
      <c r="P33" s="415" t="s">
        <v>35</v>
      </c>
      <c r="Q33" s="425"/>
      <c r="R33" s="409" t="s">
        <v>2377</v>
      </c>
      <c r="S33" s="415" t="s">
        <v>2378</v>
      </c>
      <c r="T33" s="415" t="s">
        <v>978</v>
      </c>
      <c r="U33" s="414">
        <v>0.34166000000000002</v>
      </c>
      <c r="V33" s="414">
        <v>1.1100000000000001</v>
      </c>
      <c r="W33" s="413">
        <v>8.1200000000000002E-141</v>
      </c>
      <c r="X33" s="406">
        <v>1.1759999999999999</v>
      </c>
      <c r="Y33" s="413">
        <v>2.7679999999999998E-82</v>
      </c>
      <c r="Z33" s="412">
        <v>0.57962999999999998</v>
      </c>
      <c r="AA33" s="402">
        <v>1</v>
      </c>
      <c r="AB33" s="415" t="s">
        <v>35</v>
      </c>
      <c r="AC33" s="415" t="s">
        <v>35</v>
      </c>
      <c r="AD33" s="415" t="s">
        <v>35</v>
      </c>
      <c r="AE33" s="425" t="s">
        <v>35</v>
      </c>
    </row>
    <row r="34" spans="1:31" x14ac:dyDescent="0.25">
      <c r="A34" s="415" t="s">
        <v>89</v>
      </c>
      <c r="B34" s="415" t="s">
        <v>90</v>
      </c>
      <c r="C34" s="421" t="s">
        <v>91</v>
      </c>
      <c r="D34" s="423" t="s">
        <v>92</v>
      </c>
      <c r="E34" s="494" t="s">
        <v>2379</v>
      </c>
      <c r="F34" s="415" t="s">
        <v>986</v>
      </c>
      <c r="G34" s="414">
        <v>0.23118</v>
      </c>
      <c r="H34" s="415">
        <v>0.33300000000000002</v>
      </c>
      <c r="I34" s="413">
        <v>6.7700000000000004E-8</v>
      </c>
      <c r="J34" s="414">
        <v>0.1125</v>
      </c>
      <c r="K34" s="408">
        <v>0.2258</v>
      </c>
      <c r="L34" s="415" t="s">
        <v>35</v>
      </c>
      <c r="M34" s="415" t="s">
        <v>35</v>
      </c>
      <c r="N34" s="415" t="s">
        <v>35</v>
      </c>
      <c r="O34" s="415" t="s">
        <v>35</v>
      </c>
      <c r="P34" s="415" t="s">
        <v>35</v>
      </c>
      <c r="Q34" s="425" t="s">
        <v>35</v>
      </c>
      <c r="R34" s="409" t="s">
        <v>2380</v>
      </c>
      <c r="S34" s="415" t="s">
        <v>2381</v>
      </c>
      <c r="T34" s="415" t="s">
        <v>975</v>
      </c>
      <c r="U34" s="414">
        <v>0.16619999999999999</v>
      </c>
      <c r="V34" s="414">
        <v>0.42399999999999999</v>
      </c>
      <c r="W34" s="413">
        <v>9.4800000000000004E-10</v>
      </c>
      <c r="X34" s="406">
        <v>0.32419999999999999</v>
      </c>
      <c r="Y34" s="413">
        <v>2.0240000000000002E-3</v>
      </c>
      <c r="Z34" s="412">
        <v>0.57787500000000003</v>
      </c>
      <c r="AA34" s="402">
        <v>0.92918100000000003</v>
      </c>
      <c r="AB34" s="415" t="s">
        <v>35</v>
      </c>
      <c r="AC34" s="415" t="s">
        <v>35</v>
      </c>
      <c r="AD34" s="415" t="s">
        <v>35</v>
      </c>
      <c r="AE34" s="425" t="s">
        <v>35</v>
      </c>
    </row>
    <row r="35" spans="1:31" x14ac:dyDescent="0.25">
      <c r="A35" s="415" t="s">
        <v>89</v>
      </c>
      <c r="B35" s="415" t="s">
        <v>90</v>
      </c>
      <c r="C35" s="421" t="s">
        <v>91</v>
      </c>
      <c r="D35" s="423" t="s">
        <v>92</v>
      </c>
      <c r="E35" s="494" t="s">
        <v>2382</v>
      </c>
      <c r="F35" s="415" t="s">
        <v>986</v>
      </c>
      <c r="G35" s="414">
        <v>0.23118</v>
      </c>
      <c r="H35" s="415">
        <v>-0.41499999999999998</v>
      </c>
      <c r="I35" s="413">
        <v>1.1200000000000001E-11</v>
      </c>
      <c r="J35" s="414">
        <v>4.0039999999999999E-2</v>
      </c>
      <c r="K35" s="408">
        <v>0.65010000000000001</v>
      </c>
      <c r="L35" s="415" t="s">
        <v>35</v>
      </c>
      <c r="M35" s="415" t="s">
        <v>35</v>
      </c>
      <c r="N35" s="415" t="s">
        <v>35</v>
      </c>
      <c r="O35" s="415" t="s">
        <v>35</v>
      </c>
      <c r="P35" s="415" t="s">
        <v>35</v>
      </c>
      <c r="Q35" s="425" t="s">
        <v>35</v>
      </c>
      <c r="R35" s="409" t="s">
        <v>2383</v>
      </c>
      <c r="S35" s="415" t="s">
        <v>2384</v>
      </c>
      <c r="T35" s="415" t="s">
        <v>975</v>
      </c>
      <c r="U35" s="414">
        <v>0.34308</v>
      </c>
      <c r="V35" s="414">
        <v>-0.48599999999999999</v>
      </c>
      <c r="W35" s="413">
        <v>4.5900000000000001E-21</v>
      </c>
      <c r="X35" s="406">
        <v>-0.51229999999999998</v>
      </c>
      <c r="Y35" s="413">
        <v>2.5330000000000001E-11</v>
      </c>
      <c r="Z35" s="412">
        <v>0.55971099999999996</v>
      </c>
      <c r="AA35" s="402">
        <v>0.98550700000000002</v>
      </c>
      <c r="AB35" s="415" t="s">
        <v>35</v>
      </c>
      <c r="AC35" s="415" t="s">
        <v>35</v>
      </c>
      <c r="AD35" s="415" t="s">
        <v>35</v>
      </c>
      <c r="AE35" s="425" t="s">
        <v>35</v>
      </c>
    </row>
    <row r="36" spans="1:31" x14ac:dyDescent="0.25">
      <c r="A36" s="415" t="s">
        <v>80</v>
      </c>
      <c r="B36" s="415" t="s">
        <v>81</v>
      </c>
      <c r="C36" s="421" t="s">
        <v>82</v>
      </c>
      <c r="D36" s="423" t="s">
        <v>83</v>
      </c>
      <c r="E36" s="494" t="s">
        <v>2385</v>
      </c>
      <c r="F36" s="415" t="s">
        <v>980</v>
      </c>
      <c r="G36" s="414">
        <v>0.49415999999999999</v>
      </c>
      <c r="H36" s="415">
        <v>-0.186</v>
      </c>
      <c r="I36" s="413">
        <v>2.22E-4</v>
      </c>
      <c r="J36" s="414">
        <v>-7.6060000000000003E-2</v>
      </c>
      <c r="K36" s="408">
        <v>0.1394</v>
      </c>
      <c r="L36" s="415" t="s">
        <v>35</v>
      </c>
      <c r="M36" s="415" t="s">
        <v>35</v>
      </c>
      <c r="N36" s="415" t="s">
        <v>35</v>
      </c>
      <c r="O36" s="415" t="s">
        <v>35</v>
      </c>
      <c r="P36" s="415" t="s">
        <v>35</v>
      </c>
      <c r="Q36" s="425" t="s">
        <v>35</v>
      </c>
      <c r="R36" s="409" t="s">
        <v>2386</v>
      </c>
      <c r="S36" s="415" t="s">
        <v>2387</v>
      </c>
      <c r="T36" s="415" t="s">
        <v>980</v>
      </c>
      <c r="U36" s="414">
        <v>0.20651</v>
      </c>
      <c r="V36" s="414">
        <v>-0.47199999999999998</v>
      </c>
      <c r="W36" s="413">
        <v>7.8100000000000003E-14</v>
      </c>
      <c r="X36" s="406">
        <v>-0.43959999999999999</v>
      </c>
      <c r="Y36" s="413">
        <v>3.5819999999999999E-11</v>
      </c>
      <c r="Z36" s="412">
        <v>0.104936</v>
      </c>
      <c r="AA36" s="402">
        <v>0.64248300000000003</v>
      </c>
      <c r="AB36" s="415" t="s">
        <v>35</v>
      </c>
      <c r="AC36" s="415" t="s">
        <v>35</v>
      </c>
      <c r="AD36" s="415" t="s">
        <v>35</v>
      </c>
      <c r="AE36" s="425" t="s">
        <v>35</v>
      </c>
    </row>
    <row r="37" spans="1:31" x14ac:dyDescent="0.25">
      <c r="A37" s="415" t="s">
        <v>101</v>
      </c>
      <c r="B37" s="415" t="s">
        <v>102</v>
      </c>
      <c r="C37" s="421" t="s">
        <v>103</v>
      </c>
      <c r="D37" s="423" t="s">
        <v>104</v>
      </c>
      <c r="E37" s="494" t="s">
        <v>2388</v>
      </c>
      <c r="F37" s="415" t="s">
        <v>978</v>
      </c>
      <c r="G37" s="414">
        <v>0.18765999999999999</v>
      </c>
      <c r="H37" s="415">
        <v>-0.28299999999999997</v>
      </c>
      <c r="I37" s="413">
        <v>5.7100000000000004E-6</v>
      </c>
      <c r="J37" s="414">
        <v>-0.18720000000000001</v>
      </c>
      <c r="K37" s="408">
        <v>1.2620000000000001E-3</v>
      </c>
      <c r="L37" s="415" t="s">
        <v>35</v>
      </c>
      <c r="M37" s="415" t="s">
        <v>35</v>
      </c>
      <c r="N37" s="415" t="s">
        <v>35</v>
      </c>
      <c r="O37" s="415" t="s">
        <v>35</v>
      </c>
      <c r="P37" s="415" t="s">
        <v>35</v>
      </c>
      <c r="Q37" s="425" t="s">
        <v>35</v>
      </c>
      <c r="R37" s="409" t="s">
        <v>2389</v>
      </c>
      <c r="S37" s="415" t="s">
        <v>2390</v>
      </c>
      <c r="T37" s="415" t="s">
        <v>975</v>
      </c>
      <c r="U37" s="414">
        <v>4.0689999999999997E-2</v>
      </c>
      <c r="V37" s="414">
        <v>1.52</v>
      </c>
      <c r="W37" s="413">
        <v>3.3799999999999997E-30</v>
      </c>
      <c r="X37" s="406">
        <v>1.4530000000000001</v>
      </c>
      <c r="Y37" s="413">
        <v>8.8159999999999994E-28</v>
      </c>
      <c r="Z37" s="412">
        <v>9.2031700000000001E-3</v>
      </c>
      <c r="AA37" s="402">
        <v>1</v>
      </c>
      <c r="AB37" s="415" t="s">
        <v>35</v>
      </c>
      <c r="AC37" s="415" t="s">
        <v>35</v>
      </c>
      <c r="AD37" s="415" t="s">
        <v>35</v>
      </c>
      <c r="AE37" s="425" t="s">
        <v>35</v>
      </c>
    </row>
    <row r="38" spans="1:31" x14ac:dyDescent="0.25">
      <c r="A38" s="495" t="s">
        <v>101</v>
      </c>
      <c r="B38" s="495" t="s">
        <v>102</v>
      </c>
      <c r="C38" s="429" t="s">
        <v>103</v>
      </c>
      <c r="D38" s="496" t="s">
        <v>104</v>
      </c>
      <c r="E38" s="497" t="s">
        <v>103</v>
      </c>
      <c r="F38" s="495" t="s">
        <v>978</v>
      </c>
      <c r="G38" s="498">
        <v>0.18765999999999999</v>
      </c>
      <c r="H38" s="495">
        <v>0.307</v>
      </c>
      <c r="I38" s="499">
        <v>8.7400000000000002E-7</v>
      </c>
      <c r="J38" s="498">
        <v>4.9009999999999998E-2</v>
      </c>
      <c r="K38" s="500">
        <v>0.81310000000000004</v>
      </c>
      <c r="L38" s="495" t="s">
        <v>35</v>
      </c>
      <c r="M38" s="495" t="s">
        <v>35</v>
      </c>
      <c r="N38" s="495" t="s">
        <v>35</v>
      </c>
      <c r="O38" s="495" t="s">
        <v>35</v>
      </c>
      <c r="P38" s="495" t="s">
        <v>35</v>
      </c>
      <c r="Q38" s="504" t="s">
        <v>35</v>
      </c>
      <c r="R38" s="501" t="s">
        <v>2391</v>
      </c>
      <c r="S38" s="495" t="s">
        <v>2392</v>
      </c>
      <c r="T38" s="495" t="s">
        <v>974</v>
      </c>
      <c r="U38" s="498">
        <v>0.20097999999999999</v>
      </c>
      <c r="V38" s="498">
        <v>0.309</v>
      </c>
      <c r="W38" s="499">
        <v>3.6600000000000002E-7</v>
      </c>
      <c r="X38" s="502">
        <v>0.2646</v>
      </c>
      <c r="Y38" s="499">
        <v>0.1915</v>
      </c>
      <c r="Z38" s="420">
        <v>0.90057500000000001</v>
      </c>
      <c r="AA38" s="503">
        <v>0.99121499999999996</v>
      </c>
      <c r="AB38" s="495" t="s">
        <v>35</v>
      </c>
      <c r="AC38" s="495" t="s">
        <v>35</v>
      </c>
      <c r="AD38" s="495" t="s">
        <v>35</v>
      </c>
      <c r="AE38" s="504" t="s">
        <v>35</v>
      </c>
    </row>
    <row r="39" spans="1:31" x14ac:dyDescent="0.25">
      <c r="A39" s="415" t="s">
        <v>105</v>
      </c>
      <c r="B39" s="415" t="s">
        <v>106</v>
      </c>
      <c r="C39" s="421" t="s">
        <v>107</v>
      </c>
      <c r="D39" s="556" t="s">
        <v>108</v>
      </c>
      <c r="E39" s="494" t="s">
        <v>107</v>
      </c>
      <c r="F39" s="415" t="s">
        <v>980</v>
      </c>
      <c r="G39" s="414">
        <v>0.12468</v>
      </c>
      <c r="H39" s="415">
        <v>1.28</v>
      </c>
      <c r="I39" s="413">
        <v>1.4000000000000001E-76</v>
      </c>
      <c r="J39" s="414">
        <v>0.20039999999999999</v>
      </c>
      <c r="K39" s="408">
        <v>5.2690000000000001E-2</v>
      </c>
      <c r="L39" s="409" t="s">
        <v>2393</v>
      </c>
      <c r="M39" s="415" t="s">
        <v>109</v>
      </c>
      <c r="N39" s="415">
        <v>1.27</v>
      </c>
      <c r="O39" s="413">
        <v>4.9099999999999997E-100</v>
      </c>
      <c r="P39" s="415">
        <v>3.3890000000000003E-2</v>
      </c>
      <c r="Q39" s="413">
        <v>0.89</v>
      </c>
      <c r="R39" s="409" t="s">
        <v>2394</v>
      </c>
      <c r="S39" s="415" t="s">
        <v>2395</v>
      </c>
      <c r="T39" s="415" t="s">
        <v>979</v>
      </c>
      <c r="U39" s="414">
        <v>0.16753999999999999</v>
      </c>
      <c r="V39" s="414">
        <v>1.31</v>
      </c>
      <c r="W39" s="413">
        <v>8.1600000000000004E-106</v>
      </c>
      <c r="X39" s="406">
        <v>1.155</v>
      </c>
      <c r="Y39" s="413">
        <v>3.1339999999999999E-32</v>
      </c>
      <c r="Z39" s="412">
        <v>0.70774999999999999</v>
      </c>
      <c r="AA39" s="402">
        <v>1</v>
      </c>
      <c r="AB39" s="414">
        <v>1.264</v>
      </c>
      <c r="AC39" s="413">
        <v>3.8070000000000001E-7</v>
      </c>
      <c r="AD39" s="420">
        <v>0.95826199999999995</v>
      </c>
      <c r="AE39" s="402">
        <v>0.99046000000000001</v>
      </c>
    </row>
    <row r="40" spans="1:31" x14ac:dyDescent="0.25">
      <c r="A40" s="495" t="s">
        <v>105</v>
      </c>
      <c r="B40" s="495" t="s">
        <v>106</v>
      </c>
      <c r="C40" s="429" t="s">
        <v>107</v>
      </c>
      <c r="D40" s="557" t="s">
        <v>108</v>
      </c>
      <c r="E40" s="497" t="s">
        <v>2396</v>
      </c>
      <c r="F40" s="495" t="s">
        <v>980</v>
      </c>
      <c r="G40" s="498">
        <v>0.12468</v>
      </c>
      <c r="H40" s="495">
        <v>-0.93</v>
      </c>
      <c r="I40" s="499">
        <v>3.5800000000000001E-37</v>
      </c>
      <c r="J40" s="498">
        <v>-0.3876</v>
      </c>
      <c r="K40" s="500">
        <v>0.45650000000000002</v>
      </c>
      <c r="L40" s="501" t="s">
        <v>2393</v>
      </c>
      <c r="M40" s="495" t="s">
        <v>109</v>
      </c>
      <c r="N40" s="495">
        <v>-0.66300000000000003</v>
      </c>
      <c r="O40" s="499">
        <v>3.2900000000000002E-23</v>
      </c>
      <c r="P40" s="495">
        <v>0.13669999999999999</v>
      </c>
      <c r="Q40" s="499">
        <v>0.23089999999999999</v>
      </c>
      <c r="R40" s="501" t="s">
        <v>2397</v>
      </c>
      <c r="S40" s="495" t="s">
        <v>2398</v>
      </c>
      <c r="T40" s="495" t="s">
        <v>980</v>
      </c>
      <c r="U40" s="498">
        <v>0.12273000000000001</v>
      </c>
      <c r="V40" s="498">
        <v>-0.93600000000000005</v>
      </c>
      <c r="W40" s="499">
        <v>2.6400000000000002E-37</v>
      </c>
      <c r="X40" s="502">
        <v>-0.55720000000000003</v>
      </c>
      <c r="Y40" s="499">
        <v>0.28660000000000002</v>
      </c>
      <c r="Z40" s="420">
        <v>0.98218899999999998</v>
      </c>
      <c r="AA40" s="503">
        <v>1</v>
      </c>
      <c r="AB40" s="498">
        <v>-1.0629999999999999</v>
      </c>
      <c r="AC40" s="499">
        <v>4.0150000000000002E-16</v>
      </c>
      <c r="AD40" s="505">
        <v>0.71164700000000003</v>
      </c>
      <c r="AE40" s="503">
        <v>1</v>
      </c>
    </row>
    <row r="41" spans="1:31" x14ac:dyDescent="0.25">
      <c r="A41" s="495" t="s">
        <v>105</v>
      </c>
      <c r="B41" s="495" t="s">
        <v>106</v>
      </c>
      <c r="C41" s="429" t="s">
        <v>107</v>
      </c>
      <c r="D41" s="557" t="s">
        <v>108</v>
      </c>
      <c r="E41" s="497" t="s">
        <v>2399</v>
      </c>
      <c r="F41" s="495" t="s">
        <v>980</v>
      </c>
      <c r="G41" s="498">
        <v>0.12468</v>
      </c>
      <c r="H41" s="495">
        <v>0.41099999999999998</v>
      </c>
      <c r="I41" s="499">
        <v>6.5299999999999996E-8</v>
      </c>
      <c r="J41" s="498">
        <v>5.926E-2</v>
      </c>
      <c r="K41" s="500">
        <v>0.8216</v>
      </c>
      <c r="L41" s="495" t="s">
        <v>35</v>
      </c>
      <c r="M41" s="495" t="s">
        <v>35</v>
      </c>
      <c r="N41" s="495" t="s">
        <v>35</v>
      </c>
      <c r="O41" s="495" t="s">
        <v>35</v>
      </c>
      <c r="P41" s="495" t="s">
        <v>35</v>
      </c>
      <c r="Q41" s="504" t="s">
        <v>35</v>
      </c>
      <c r="R41" s="501" t="s">
        <v>2400</v>
      </c>
      <c r="S41" s="495" t="s">
        <v>2401</v>
      </c>
      <c r="T41" s="495" t="s">
        <v>979</v>
      </c>
      <c r="U41" s="498">
        <v>0.12467</v>
      </c>
      <c r="V41" s="498">
        <v>0.43099999999999999</v>
      </c>
      <c r="W41" s="499">
        <v>2.0999999999999999E-8</v>
      </c>
      <c r="X41" s="502">
        <v>0.39529999999999998</v>
      </c>
      <c r="Y41" s="499">
        <v>0.13869999999999999</v>
      </c>
      <c r="Z41" s="420">
        <v>0.91806600000000005</v>
      </c>
      <c r="AA41" s="503">
        <v>0.95815799999999995</v>
      </c>
      <c r="AB41" s="495" t="s">
        <v>35</v>
      </c>
      <c r="AC41" s="495" t="s">
        <v>35</v>
      </c>
      <c r="AD41" s="495" t="s">
        <v>35</v>
      </c>
      <c r="AE41" s="504" t="s">
        <v>35</v>
      </c>
    </row>
    <row r="42" spans="1:31" x14ac:dyDescent="0.25">
      <c r="A42" s="415" t="s">
        <v>110</v>
      </c>
      <c r="B42" s="415" t="s">
        <v>111</v>
      </c>
      <c r="C42" s="421" t="s">
        <v>107</v>
      </c>
      <c r="D42" s="556" t="s">
        <v>112</v>
      </c>
      <c r="E42" s="494" t="s">
        <v>107</v>
      </c>
      <c r="F42" s="415" t="s">
        <v>979</v>
      </c>
      <c r="G42" s="414">
        <v>0.12467</v>
      </c>
      <c r="H42" s="415">
        <v>1.28</v>
      </c>
      <c r="I42" s="413">
        <v>1.4000000000000001E-76</v>
      </c>
      <c r="J42" s="414">
        <v>0.20039999999999999</v>
      </c>
      <c r="K42" s="408">
        <v>5.2699999999999997E-2</v>
      </c>
      <c r="L42" s="409" t="s">
        <v>2393</v>
      </c>
      <c r="M42" s="415" t="s">
        <v>109</v>
      </c>
      <c r="N42" s="415">
        <v>1.27</v>
      </c>
      <c r="O42" s="413">
        <v>4.9099999999999997E-100</v>
      </c>
      <c r="P42" s="415">
        <v>3.3890000000000003E-2</v>
      </c>
      <c r="Q42" s="413">
        <v>0.89</v>
      </c>
      <c r="R42" s="409" t="s">
        <v>2394</v>
      </c>
      <c r="S42" s="415" t="s">
        <v>2395</v>
      </c>
      <c r="T42" s="415" t="s">
        <v>979</v>
      </c>
      <c r="U42" s="414">
        <v>0.16753999999999999</v>
      </c>
      <c r="V42" s="414">
        <v>1.31</v>
      </c>
      <c r="W42" s="413">
        <v>8.1600000000000004E-106</v>
      </c>
      <c r="X42" s="406">
        <v>1.155</v>
      </c>
      <c r="Y42" s="413">
        <v>3.1579999999999999E-32</v>
      </c>
      <c r="Z42" s="412">
        <v>0.70774999999999999</v>
      </c>
      <c r="AA42" s="402">
        <v>1</v>
      </c>
      <c r="AB42" s="414">
        <v>1.264</v>
      </c>
      <c r="AC42" s="413">
        <v>3.8070000000000001E-7</v>
      </c>
      <c r="AD42" s="420">
        <v>0.95826199999999995</v>
      </c>
      <c r="AE42" s="402">
        <v>0.99046000000000001</v>
      </c>
    </row>
    <row r="43" spans="1:31" x14ac:dyDescent="0.25">
      <c r="A43" s="495" t="s">
        <v>110</v>
      </c>
      <c r="B43" s="495" t="s">
        <v>111</v>
      </c>
      <c r="C43" s="429" t="s">
        <v>107</v>
      </c>
      <c r="D43" s="557" t="s">
        <v>112</v>
      </c>
      <c r="E43" s="497" t="s">
        <v>2396</v>
      </c>
      <c r="F43" s="495" t="s">
        <v>979</v>
      </c>
      <c r="G43" s="498">
        <v>0.12467</v>
      </c>
      <c r="H43" s="495">
        <v>-0.93</v>
      </c>
      <c r="I43" s="499">
        <v>3.5800000000000001E-37</v>
      </c>
      <c r="J43" s="498">
        <v>-0.3881</v>
      </c>
      <c r="K43" s="500">
        <v>0.45590000000000003</v>
      </c>
      <c r="L43" s="501" t="s">
        <v>2393</v>
      </c>
      <c r="M43" s="495" t="s">
        <v>109</v>
      </c>
      <c r="N43" s="495">
        <v>-0.66300000000000003</v>
      </c>
      <c r="O43" s="499">
        <v>3.2900000000000002E-23</v>
      </c>
      <c r="P43" s="495">
        <v>0.13669999999999999</v>
      </c>
      <c r="Q43" s="499">
        <v>0.23089999999999999</v>
      </c>
      <c r="R43" s="501" t="s">
        <v>2397</v>
      </c>
      <c r="S43" s="495" t="s">
        <v>2398</v>
      </c>
      <c r="T43" s="495" t="s">
        <v>980</v>
      </c>
      <c r="U43" s="498">
        <v>0.12273000000000001</v>
      </c>
      <c r="V43" s="498">
        <v>-0.93600000000000005</v>
      </c>
      <c r="W43" s="499">
        <v>2.6400000000000002E-37</v>
      </c>
      <c r="X43" s="502">
        <v>-0.55620000000000003</v>
      </c>
      <c r="Y43" s="499">
        <v>0.28749999999999998</v>
      </c>
      <c r="Z43" s="420">
        <v>0.98218899999999998</v>
      </c>
      <c r="AA43" s="503">
        <v>1</v>
      </c>
      <c r="AB43" s="498">
        <v>-1.0629999999999999</v>
      </c>
      <c r="AC43" s="499">
        <v>4.0150000000000002E-16</v>
      </c>
      <c r="AD43" s="505">
        <v>0.71164700000000003</v>
      </c>
      <c r="AE43" s="503">
        <v>1</v>
      </c>
    </row>
    <row r="44" spans="1:31" x14ac:dyDescent="0.25">
      <c r="A44" s="495" t="s">
        <v>110</v>
      </c>
      <c r="B44" s="495" t="s">
        <v>111</v>
      </c>
      <c r="C44" s="429" t="s">
        <v>107</v>
      </c>
      <c r="D44" s="557" t="s">
        <v>112</v>
      </c>
      <c r="E44" s="497" t="s">
        <v>2399</v>
      </c>
      <c r="F44" s="495" t="s">
        <v>979</v>
      </c>
      <c r="G44" s="498">
        <v>0.12467</v>
      </c>
      <c r="H44" s="495">
        <v>0.41099999999999998</v>
      </c>
      <c r="I44" s="499">
        <v>6.5299999999999996E-8</v>
      </c>
      <c r="J44" s="498">
        <v>5.9290000000000002E-2</v>
      </c>
      <c r="K44" s="500">
        <v>0.82150000000000001</v>
      </c>
      <c r="L44" s="495" t="s">
        <v>35</v>
      </c>
      <c r="M44" s="495" t="s">
        <v>35</v>
      </c>
      <c r="N44" s="495" t="s">
        <v>35</v>
      </c>
      <c r="O44" s="495" t="s">
        <v>35</v>
      </c>
      <c r="P44" s="495" t="s">
        <v>35</v>
      </c>
      <c r="Q44" s="504" t="s">
        <v>35</v>
      </c>
      <c r="R44" s="501" t="s">
        <v>2400</v>
      </c>
      <c r="S44" s="495" t="s">
        <v>2401</v>
      </c>
      <c r="T44" s="495" t="s">
        <v>979</v>
      </c>
      <c r="U44" s="498">
        <v>0.12467</v>
      </c>
      <c r="V44" s="498">
        <v>0.43099999999999999</v>
      </c>
      <c r="W44" s="499">
        <v>2.0999999999999999E-8</v>
      </c>
      <c r="X44" s="502">
        <v>0.39529999999999998</v>
      </c>
      <c r="Y44" s="499">
        <v>0.13869999999999999</v>
      </c>
      <c r="Z44" s="420">
        <v>0.91806600000000005</v>
      </c>
      <c r="AA44" s="503">
        <v>0.95815799999999995</v>
      </c>
      <c r="AB44" s="495" t="s">
        <v>35</v>
      </c>
      <c r="AC44" s="495" t="s">
        <v>35</v>
      </c>
      <c r="AD44" s="495" t="s">
        <v>35</v>
      </c>
      <c r="AE44" s="504" t="s">
        <v>35</v>
      </c>
    </row>
    <row r="45" spans="1:31" x14ac:dyDescent="0.25">
      <c r="A45" s="415" t="s">
        <v>121</v>
      </c>
      <c r="B45" s="415" t="s">
        <v>122</v>
      </c>
      <c r="C45" s="421" t="s">
        <v>123</v>
      </c>
      <c r="D45" s="423" t="s">
        <v>124</v>
      </c>
      <c r="E45" s="494" t="s">
        <v>2402</v>
      </c>
      <c r="F45" s="415" t="s">
        <v>974</v>
      </c>
      <c r="G45" s="414">
        <v>0.10141</v>
      </c>
      <c r="H45" s="415">
        <v>-0.34300000000000003</v>
      </c>
      <c r="I45" s="413">
        <v>5.4299999999999998E-5</v>
      </c>
      <c r="J45" s="414">
        <v>-0.14080000000000001</v>
      </c>
      <c r="K45" s="408">
        <v>9.4070000000000001E-2</v>
      </c>
      <c r="L45" s="415" t="s">
        <v>35</v>
      </c>
      <c r="M45" s="415" t="s">
        <v>35</v>
      </c>
      <c r="N45" s="415" t="s">
        <v>35</v>
      </c>
      <c r="O45" s="415" t="s">
        <v>35</v>
      </c>
      <c r="P45" s="415" t="s">
        <v>35</v>
      </c>
      <c r="Q45" s="425" t="s">
        <v>35</v>
      </c>
      <c r="R45" s="409" t="s">
        <v>2403</v>
      </c>
      <c r="S45" s="415" t="s">
        <v>2404</v>
      </c>
      <c r="T45" s="415" t="s">
        <v>980</v>
      </c>
      <c r="U45" s="414">
        <v>0.42792000000000002</v>
      </c>
      <c r="V45" s="414">
        <v>-0.47599999999999998</v>
      </c>
      <c r="W45" s="413">
        <v>2.9400000000000001E-20</v>
      </c>
      <c r="X45" s="406">
        <v>-0.44819999999999999</v>
      </c>
      <c r="Y45" s="413">
        <v>6.1630000000000003E-17</v>
      </c>
      <c r="Z45" s="412">
        <v>8.4313700000000005E-2</v>
      </c>
      <c r="AA45" s="402">
        <v>1</v>
      </c>
      <c r="AB45" s="415" t="s">
        <v>35</v>
      </c>
      <c r="AC45" s="415" t="s">
        <v>35</v>
      </c>
      <c r="AD45" s="415" t="s">
        <v>35</v>
      </c>
      <c r="AE45" s="425" t="s">
        <v>35</v>
      </c>
    </row>
    <row r="46" spans="1:31" x14ac:dyDescent="0.25">
      <c r="A46" s="415" t="s">
        <v>121</v>
      </c>
      <c r="B46" s="415" t="s">
        <v>122</v>
      </c>
      <c r="C46" s="421" t="s">
        <v>123</v>
      </c>
      <c r="D46" s="423" t="s">
        <v>124</v>
      </c>
      <c r="E46" s="494" t="s">
        <v>2405</v>
      </c>
      <c r="F46" s="415" t="s">
        <v>974</v>
      </c>
      <c r="G46" s="414">
        <v>0.10141</v>
      </c>
      <c r="H46" s="415">
        <v>-1.32</v>
      </c>
      <c r="I46" s="413">
        <v>6.1799999999999998E-64</v>
      </c>
      <c r="J46" s="414">
        <v>-0.18029999999999999</v>
      </c>
      <c r="K46" s="408">
        <v>0.21820000000000001</v>
      </c>
      <c r="L46" s="409" t="s">
        <v>2406</v>
      </c>
      <c r="M46" s="415" t="s">
        <v>125</v>
      </c>
      <c r="N46" s="415">
        <v>-1.45</v>
      </c>
      <c r="O46" s="413">
        <v>2.1700000000000001E-67</v>
      </c>
      <c r="P46" s="415">
        <v>2.9960000000000001E-2</v>
      </c>
      <c r="Q46" s="413">
        <v>0.8821</v>
      </c>
      <c r="R46" s="409" t="s">
        <v>2407</v>
      </c>
      <c r="S46" s="415" t="s">
        <v>2408</v>
      </c>
      <c r="T46" s="415" t="s">
        <v>983</v>
      </c>
      <c r="U46" s="414">
        <v>8.1059999999999993E-2</v>
      </c>
      <c r="V46" s="414">
        <v>-1.63</v>
      </c>
      <c r="W46" s="413">
        <v>3.19E-80</v>
      </c>
      <c r="X46" s="406">
        <v>-1.4790000000000001</v>
      </c>
      <c r="Y46" s="413">
        <v>1.9899999999999998E-18</v>
      </c>
      <c r="Z46" s="412">
        <v>0.78319799999999995</v>
      </c>
      <c r="AA46" s="402">
        <v>0.99105799999999999</v>
      </c>
      <c r="AB46" s="414">
        <v>-1.659</v>
      </c>
      <c r="AC46" s="413">
        <v>1.4830000000000002E-14</v>
      </c>
      <c r="AD46" s="420">
        <v>0.87006600000000001</v>
      </c>
      <c r="AE46" s="402">
        <v>0.95658600000000005</v>
      </c>
    </row>
    <row r="47" spans="1:31" x14ac:dyDescent="0.25">
      <c r="A47" s="415" t="s">
        <v>121</v>
      </c>
      <c r="B47" s="415" t="s">
        <v>122</v>
      </c>
      <c r="C47" s="421" t="s">
        <v>123</v>
      </c>
      <c r="D47" s="423" t="s">
        <v>124</v>
      </c>
      <c r="E47" s="494" t="s">
        <v>2409</v>
      </c>
      <c r="F47" s="415" t="s">
        <v>974</v>
      </c>
      <c r="G47" s="414">
        <v>0.10141</v>
      </c>
      <c r="H47" s="415">
        <v>-0.32100000000000001</v>
      </c>
      <c r="I47" s="413">
        <v>1.75E-4</v>
      </c>
      <c r="J47" s="414">
        <v>-0.3478</v>
      </c>
      <c r="K47" s="408">
        <v>1.8870000000000001E-5</v>
      </c>
      <c r="L47" s="409" t="s">
        <v>2406</v>
      </c>
      <c r="M47" s="415" t="s">
        <v>125</v>
      </c>
      <c r="N47" s="415">
        <v>-0.33800000000000002</v>
      </c>
      <c r="O47" s="413">
        <v>2.2499999999999999E-4</v>
      </c>
      <c r="P47" s="415">
        <v>-0.3705</v>
      </c>
      <c r="Q47" s="413">
        <v>2.1860000000000001E-5</v>
      </c>
      <c r="R47" s="409" t="s">
        <v>2410</v>
      </c>
      <c r="S47" s="415" t="s">
        <v>2411</v>
      </c>
      <c r="T47" s="415" t="s">
        <v>980</v>
      </c>
      <c r="U47" s="414">
        <v>2.5260000000000001E-2</v>
      </c>
      <c r="V47" s="414">
        <v>-1.37</v>
      </c>
      <c r="W47" s="413">
        <v>2.6600000000000001E-18</v>
      </c>
      <c r="X47" s="406">
        <v>-1.3959999999999999</v>
      </c>
      <c r="Y47" s="413">
        <v>5.1029999999999999E-19</v>
      </c>
      <c r="Z47" s="412">
        <v>2.1581700000000001E-3</v>
      </c>
      <c r="AA47" s="402">
        <v>0.85843400000000003</v>
      </c>
      <c r="AB47" s="414">
        <v>-1.3979999999999999</v>
      </c>
      <c r="AC47" s="413">
        <v>3.2550000000000002E-19</v>
      </c>
      <c r="AD47" s="412">
        <v>2.1198900000000001E-3</v>
      </c>
      <c r="AE47" s="402">
        <v>0.92904200000000003</v>
      </c>
    </row>
    <row r="48" spans="1:31" x14ac:dyDescent="0.25">
      <c r="A48" s="415" t="s">
        <v>126</v>
      </c>
      <c r="B48" s="415" t="s">
        <v>127</v>
      </c>
      <c r="C48" s="421" t="s">
        <v>128</v>
      </c>
      <c r="D48" s="423" t="s">
        <v>129</v>
      </c>
      <c r="E48" s="494" t="s">
        <v>2412</v>
      </c>
      <c r="F48" s="415" t="s">
        <v>972</v>
      </c>
      <c r="G48" s="414">
        <v>3.5619999999999999E-2</v>
      </c>
      <c r="H48" s="415">
        <v>-0.63</v>
      </c>
      <c r="I48" s="413">
        <v>9.0100000000000001E-6</v>
      </c>
      <c r="J48" s="414">
        <v>-0.20200000000000001</v>
      </c>
      <c r="K48" s="408">
        <v>6.8070000000000006E-2</v>
      </c>
      <c r="L48" s="415" t="s">
        <v>35</v>
      </c>
      <c r="M48" s="415" t="s">
        <v>35</v>
      </c>
      <c r="N48" s="415" t="s">
        <v>35</v>
      </c>
      <c r="O48" s="415" t="s">
        <v>35</v>
      </c>
      <c r="P48" s="415" t="s">
        <v>35</v>
      </c>
      <c r="Q48" s="425" t="s">
        <v>35</v>
      </c>
      <c r="R48" s="409" t="s">
        <v>2413</v>
      </c>
      <c r="S48" s="415" t="s">
        <v>2414</v>
      </c>
      <c r="T48" s="415" t="s">
        <v>978</v>
      </c>
      <c r="U48" s="414">
        <v>0.25259999999999999</v>
      </c>
      <c r="V48" s="414">
        <v>1.05</v>
      </c>
      <c r="W48" s="413">
        <v>4.7900000000000004E-93</v>
      </c>
      <c r="X48" s="406">
        <v>1.036</v>
      </c>
      <c r="Y48" s="413">
        <v>2.031E-89</v>
      </c>
      <c r="Z48" s="412">
        <v>1.7948599999999999E-2</v>
      </c>
      <c r="AA48" s="402">
        <v>0.40470099999999998</v>
      </c>
      <c r="AB48" s="415" t="s">
        <v>35</v>
      </c>
      <c r="AC48" s="415" t="s">
        <v>35</v>
      </c>
      <c r="AD48" s="415" t="s">
        <v>35</v>
      </c>
      <c r="AE48" s="425" t="s">
        <v>35</v>
      </c>
    </row>
    <row r="49" spans="1:31" x14ac:dyDescent="0.25">
      <c r="A49" s="415" t="s">
        <v>126</v>
      </c>
      <c r="B49" s="415" t="s">
        <v>127</v>
      </c>
      <c r="C49" s="421" t="s">
        <v>128</v>
      </c>
      <c r="D49" s="423" t="s">
        <v>129</v>
      </c>
      <c r="E49" s="494" t="s">
        <v>2415</v>
      </c>
      <c r="F49" s="415" t="s">
        <v>972</v>
      </c>
      <c r="G49" s="414">
        <v>3.5619999999999999E-2</v>
      </c>
      <c r="H49" s="415">
        <v>0.63900000000000001</v>
      </c>
      <c r="I49" s="413">
        <v>7.34E-6</v>
      </c>
      <c r="J49" s="414">
        <v>0.38769999999999999</v>
      </c>
      <c r="K49" s="408">
        <v>1.7470000000000001E-3</v>
      </c>
      <c r="L49" s="415" t="s">
        <v>35</v>
      </c>
      <c r="M49" s="415" t="s">
        <v>35</v>
      </c>
      <c r="N49" s="415" t="s">
        <v>35</v>
      </c>
      <c r="O49" s="415" t="s">
        <v>35</v>
      </c>
      <c r="P49" s="415" t="s">
        <v>35</v>
      </c>
      <c r="Q49" s="425"/>
      <c r="R49" s="409" t="s">
        <v>2416</v>
      </c>
      <c r="S49" s="415" t="s">
        <v>2417</v>
      </c>
      <c r="T49" s="415" t="s">
        <v>974</v>
      </c>
      <c r="U49" s="414">
        <v>0.25861000000000001</v>
      </c>
      <c r="V49" s="414">
        <v>-0.85099999999999998</v>
      </c>
      <c r="W49" s="413">
        <v>4.4599999999999999E-53</v>
      </c>
      <c r="X49" s="406">
        <v>-0.83199999999999996</v>
      </c>
      <c r="Y49" s="413">
        <v>5.6599999999999995E-51</v>
      </c>
      <c r="Z49" s="412">
        <v>1.2907800000000001E-2</v>
      </c>
      <c r="AA49" s="402">
        <v>1</v>
      </c>
      <c r="AB49" s="415" t="s">
        <v>35</v>
      </c>
      <c r="AC49" s="415" t="s">
        <v>35</v>
      </c>
      <c r="AD49" s="415" t="s">
        <v>35</v>
      </c>
      <c r="AE49" s="425" t="s">
        <v>35</v>
      </c>
    </row>
    <row r="50" spans="1:31" x14ac:dyDescent="0.25">
      <c r="A50" s="415" t="s">
        <v>142</v>
      </c>
      <c r="B50" s="415" t="s">
        <v>143</v>
      </c>
      <c r="C50" s="421" t="s">
        <v>940</v>
      </c>
      <c r="D50" s="423" t="s">
        <v>144</v>
      </c>
      <c r="E50" s="494" t="s">
        <v>2418</v>
      </c>
      <c r="F50" s="415" t="s">
        <v>978</v>
      </c>
      <c r="G50" s="414">
        <v>0.33051999999999998</v>
      </c>
      <c r="H50" s="415">
        <v>-0.222</v>
      </c>
      <c r="I50" s="413">
        <v>4.74E-5</v>
      </c>
      <c r="J50" s="414">
        <v>9.2739999999999993E-3</v>
      </c>
      <c r="K50" s="408">
        <v>0.89500000000000002</v>
      </c>
      <c r="L50" s="415" t="s">
        <v>35</v>
      </c>
      <c r="M50" s="415" t="s">
        <v>35</v>
      </c>
      <c r="N50" s="415" t="s">
        <v>35</v>
      </c>
      <c r="O50" s="415" t="s">
        <v>35</v>
      </c>
      <c r="P50" s="415" t="s">
        <v>35</v>
      </c>
      <c r="Q50" s="425"/>
      <c r="R50" s="409" t="s">
        <v>2419</v>
      </c>
      <c r="S50" s="415" t="s">
        <v>2420</v>
      </c>
      <c r="T50" s="415" t="s">
        <v>975</v>
      </c>
      <c r="U50" s="414">
        <v>0.31911</v>
      </c>
      <c r="V50" s="414">
        <v>-0.35499999999999998</v>
      </c>
      <c r="W50" s="413">
        <v>1.9200000000000001E-10</v>
      </c>
      <c r="X50" s="406">
        <v>-0.35780000000000001</v>
      </c>
      <c r="Y50" s="413">
        <v>9.4949999999999997E-7</v>
      </c>
      <c r="Z50" s="412">
        <v>0.43089100000000002</v>
      </c>
      <c r="AA50" s="402">
        <v>0.67617700000000003</v>
      </c>
      <c r="AB50" s="415" t="s">
        <v>35</v>
      </c>
      <c r="AC50" s="415" t="s">
        <v>35</v>
      </c>
      <c r="AD50" s="415" t="s">
        <v>35</v>
      </c>
      <c r="AE50" s="425" t="s">
        <v>35</v>
      </c>
    </row>
    <row r="51" spans="1:31" x14ac:dyDescent="0.25">
      <c r="A51" s="415" t="s">
        <v>142</v>
      </c>
      <c r="B51" s="415" t="s">
        <v>143</v>
      </c>
      <c r="C51" s="421" t="s">
        <v>940</v>
      </c>
      <c r="D51" s="423" t="s">
        <v>144</v>
      </c>
      <c r="E51" s="494" t="s">
        <v>2421</v>
      </c>
      <c r="F51" s="415" t="s">
        <v>978</v>
      </c>
      <c r="G51" s="414">
        <v>0.33051999999999998</v>
      </c>
      <c r="H51" s="415">
        <v>0.24399999999999999</v>
      </c>
      <c r="I51" s="413">
        <v>6.9800000000000001E-6</v>
      </c>
      <c r="J51" s="414">
        <v>3.2050000000000002E-2</v>
      </c>
      <c r="K51" s="408">
        <v>0.5202</v>
      </c>
      <c r="L51" s="415" t="s">
        <v>35</v>
      </c>
      <c r="M51" s="415" t="s">
        <v>35</v>
      </c>
      <c r="N51" s="415" t="s">
        <v>35</v>
      </c>
      <c r="O51" s="415" t="s">
        <v>35</v>
      </c>
      <c r="P51" s="415" t="s">
        <v>35</v>
      </c>
      <c r="Q51" s="425" t="s">
        <v>35</v>
      </c>
      <c r="R51" s="409" t="s">
        <v>2422</v>
      </c>
      <c r="S51" s="415" t="s">
        <v>2423</v>
      </c>
      <c r="T51" s="415" t="s">
        <v>974</v>
      </c>
      <c r="U51" s="414">
        <v>0.33123999999999998</v>
      </c>
      <c r="V51" s="414">
        <v>0.73199999999999998</v>
      </c>
      <c r="W51" s="413">
        <v>1.1600000000000001E-47</v>
      </c>
      <c r="X51" s="406">
        <v>0.72250000000000003</v>
      </c>
      <c r="Y51" s="413">
        <v>4.6539999999999996E-43</v>
      </c>
      <c r="Z51" s="412">
        <v>7.7825000000000005E-2</v>
      </c>
      <c r="AA51" s="402">
        <v>0.56423999999999996</v>
      </c>
      <c r="AB51" s="415" t="s">
        <v>35</v>
      </c>
      <c r="AC51" s="415" t="s">
        <v>35</v>
      </c>
      <c r="AD51" s="415" t="s">
        <v>35</v>
      </c>
      <c r="AE51" s="425" t="s">
        <v>35</v>
      </c>
    </row>
    <row r="52" spans="1:31" x14ac:dyDescent="0.25">
      <c r="A52" s="415" t="s">
        <v>142</v>
      </c>
      <c r="B52" s="415" t="s">
        <v>143</v>
      </c>
      <c r="C52" s="421" t="s">
        <v>940</v>
      </c>
      <c r="D52" s="423" t="s">
        <v>144</v>
      </c>
      <c r="E52" s="494" t="s">
        <v>941</v>
      </c>
      <c r="F52" s="415" t="s">
        <v>978</v>
      </c>
      <c r="G52" s="414">
        <v>0.33051999999999998</v>
      </c>
      <c r="H52" s="415">
        <v>0.39800000000000002</v>
      </c>
      <c r="I52" s="413">
        <v>1.42E-13</v>
      </c>
      <c r="J52" s="414">
        <v>0.3846</v>
      </c>
      <c r="K52" s="408">
        <v>7.2509999999999999E-16</v>
      </c>
      <c r="L52" s="409" t="s">
        <v>2424</v>
      </c>
      <c r="M52" s="415" t="s">
        <v>1022</v>
      </c>
      <c r="N52" s="415">
        <v>0.49099999999999999</v>
      </c>
      <c r="O52" s="413">
        <v>3.9799999999999996E-18</v>
      </c>
      <c r="P52" s="415">
        <v>0.41120000000000001</v>
      </c>
      <c r="Q52" s="413">
        <v>5.6709999999999999E-16</v>
      </c>
      <c r="R52" s="409" t="s">
        <v>2425</v>
      </c>
      <c r="S52" s="415" t="s">
        <v>2426</v>
      </c>
      <c r="T52" s="415" t="s">
        <v>975</v>
      </c>
      <c r="U52" s="414">
        <v>0.19825999999999999</v>
      </c>
      <c r="V52" s="414">
        <v>-0.80900000000000005</v>
      </c>
      <c r="W52" s="413">
        <v>3.6599999999999999E-41</v>
      </c>
      <c r="X52" s="406">
        <v>-0.80200000000000005</v>
      </c>
      <c r="Y52" s="413">
        <v>1.6300000000000001E-43</v>
      </c>
      <c r="Z52" s="412">
        <v>3.9982400000000001E-4</v>
      </c>
      <c r="AA52" s="402">
        <v>5.7264900000000001E-2</v>
      </c>
      <c r="AB52" s="414">
        <v>-0.75839999999999996</v>
      </c>
      <c r="AC52" s="413">
        <v>3.3500000000000002E-39</v>
      </c>
      <c r="AD52" s="412">
        <v>1.4274999999999999E-2</v>
      </c>
      <c r="AE52" s="402">
        <v>0.14674499999999999</v>
      </c>
    </row>
    <row r="53" spans="1:31" x14ac:dyDescent="0.25">
      <c r="A53" s="415" t="s">
        <v>145</v>
      </c>
      <c r="B53" s="415" t="s">
        <v>146</v>
      </c>
      <c r="C53" s="421" t="s">
        <v>940</v>
      </c>
      <c r="D53" s="423" t="s">
        <v>147</v>
      </c>
      <c r="E53" s="494" t="s">
        <v>941</v>
      </c>
      <c r="F53" s="415" t="s">
        <v>974</v>
      </c>
      <c r="G53" s="414">
        <v>6.2759999999999996E-2</v>
      </c>
      <c r="H53" s="415">
        <v>0.55800000000000005</v>
      </c>
      <c r="I53" s="413">
        <v>1.3300000000000001E-7</v>
      </c>
      <c r="J53" s="414">
        <v>0.20849999999999999</v>
      </c>
      <c r="K53" s="408">
        <v>3.4520000000000002E-2</v>
      </c>
      <c r="L53" s="409" t="s">
        <v>2424</v>
      </c>
      <c r="M53" s="415" t="s">
        <v>1022</v>
      </c>
      <c r="N53" s="415">
        <v>0.49099999999999999</v>
      </c>
      <c r="O53" s="413">
        <v>3.9799999999999996E-18</v>
      </c>
      <c r="P53" s="415">
        <v>0.41120000000000001</v>
      </c>
      <c r="Q53" s="413">
        <v>5.6709999999999999E-16</v>
      </c>
      <c r="R53" s="409" t="s">
        <v>2425</v>
      </c>
      <c r="S53" s="415" t="s">
        <v>2426</v>
      </c>
      <c r="T53" s="415" t="s">
        <v>975</v>
      </c>
      <c r="U53" s="414">
        <v>0.19825999999999999</v>
      </c>
      <c r="V53" s="414">
        <v>-0.80900000000000005</v>
      </c>
      <c r="W53" s="413">
        <v>3.6599999999999999E-41</v>
      </c>
      <c r="X53" s="406">
        <v>-0.77810000000000001</v>
      </c>
      <c r="Y53" s="413">
        <v>6.2770000000000003E-36</v>
      </c>
      <c r="Z53" s="412">
        <v>7.9621499999999998E-2</v>
      </c>
      <c r="AA53" s="402">
        <v>0.54689500000000002</v>
      </c>
      <c r="AB53" s="414">
        <v>-0.75839999999999996</v>
      </c>
      <c r="AC53" s="413">
        <v>3.3500000000000002E-39</v>
      </c>
      <c r="AD53" s="412">
        <v>1.4274999999999999E-2</v>
      </c>
      <c r="AE53" s="402">
        <v>0.14674499999999999</v>
      </c>
    </row>
    <row r="54" spans="1:31" x14ac:dyDescent="0.25">
      <c r="A54" s="415" t="s">
        <v>148</v>
      </c>
      <c r="B54" s="415" t="s">
        <v>149</v>
      </c>
      <c r="C54" s="421" t="s">
        <v>941</v>
      </c>
      <c r="D54" s="423" t="s">
        <v>150</v>
      </c>
      <c r="E54" s="494" t="s">
        <v>2427</v>
      </c>
      <c r="F54" s="415" t="s">
        <v>2428</v>
      </c>
      <c r="G54" s="414">
        <v>0.26234000000000002</v>
      </c>
      <c r="H54" s="415">
        <v>0.252</v>
      </c>
      <c r="I54" s="413">
        <v>1.03E-5</v>
      </c>
      <c r="J54" s="414">
        <v>2.5350000000000001E-2</v>
      </c>
      <c r="K54" s="408">
        <v>0.56079999999999997</v>
      </c>
      <c r="L54" s="409" t="s">
        <v>2424</v>
      </c>
      <c r="M54" s="415" t="s">
        <v>1022</v>
      </c>
      <c r="N54" s="415">
        <v>0.219</v>
      </c>
      <c r="O54" s="413">
        <v>1.3799999999999999E-4</v>
      </c>
      <c r="P54" s="415">
        <v>1.6160000000000001E-2</v>
      </c>
      <c r="Q54" s="413">
        <v>0.70989999999999998</v>
      </c>
      <c r="R54" s="409" t="s">
        <v>2429</v>
      </c>
      <c r="S54" s="415" t="s">
        <v>2430</v>
      </c>
      <c r="T54" s="415" t="s">
        <v>980</v>
      </c>
      <c r="U54" s="414">
        <v>0.23049</v>
      </c>
      <c r="V54" s="414">
        <v>-1.1200000000000001</v>
      </c>
      <c r="W54" s="413">
        <v>3.4000000000000002E-104</v>
      </c>
      <c r="X54" s="406">
        <v>-1.115</v>
      </c>
      <c r="Y54" s="413">
        <v>9.9860000000000003E-100</v>
      </c>
      <c r="Z54" s="412">
        <v>4.3423200000000002E-2</v>
      </c>
      <c r="AA54" s="402">
        <v>0.63841700000000001</v>
      </c>
      <c r="AB54" s="414">
        <v>-1.1160000000000001</v>
      </c>
      <c r="AC54" s="413">
        <v>1.7509999999999999E-100</v>
      </c>
      <c r="AD54" s="412">
        <v>3.8461700000000001E-2</v>
      </c>
      <c r="AE54" s="402">
        <v>0.58704000000000001</v>
      </c>
    </row>
    <row r="55" spans="1:31" x14ac:dyDescent="0.25">
      <c r="A55" s="415" t="s">
        <v>148</v>
      </c>
      <c r="B55" s="415" t="s">
        <v>149</v>
      </c>
      <c r="C55" s="421" t="s">
        <v>941</v>
      </c>
      <c r="D55" s="423" t="s">
        <v>150</v>
      </c>
      <c r="E55" s="494" t="s">
        <v>2421</v>
      </c>
      <c r="F55" s="415" t="s">
        <v>2428</v>
      </c>
      <c r="G55" s="414">
        <v>0.26234000000000002</v>
      </c>
      <c r="H55" s="415">
        <v>0.24</v>
      </c>
      <c r="I55" s="413">
        <v>2.97E-5</v>
      </c>
      <c r="J55" s="414">
        <v>0.22989999999999999</v>
      </c>
      <c r="K55" s="408">
        <v>4.3590000000000001E-5</v>
      </c>
      <c r="L55" s="409" t="s">
        <v>2424</v>
      </c>
      <c r="M55" s="415" t="s">
        <v>1022</v>
      </c>
      <c r="N55" s="415">
        <v>0.24399999999999999</v>
      </c>
      <c r="O55" s="413">
        <v>2.23E-5</v>
      </c>
      <c r="P55" s="415">
        <v>0.23710000000000001</v>
      </c>
      <c r="Q55" s="413">
        <v>2.5449999999999999E-5</v>
      </c>
      <c r="R55" s="409" t="s">
        <v>2422</v>
      </c>
      <c r="S55" s="415" t="s">
        <v>2423</v>
      </c>
      <c r="T55" s="415" t="s">
        <v>974</v>
      </c>
      <c r="U55" s="414">
        <v>0.33123999999999998</v>
      </c>
      <c r="V55" s="414">
        <v>0.32400000000000001</v>
      </c>
      <c r="W55" s="413">
        <v>1.37E-9</v>
      </c>
      <c r="X55" s="406">
        <v>0.31950000000000001</v>
      </c>
      <c r="Y55" s="413">
        <v>1.7579999999999999E-9</v>
      </c>
      <c r="Z55" s="412">
        <v>6.7036000000000005E-4</v>
      </c>
      <c r="AA55" s="402">
        <v>3.0550500000000001E-2</v>
      </c>
      <c r="AB55" s="414">
        <v>0.31890000000000002</v>
      </c>
      <c r="AC55" s="413">
        <v>1.839E-9</v>
      </c>
      <c r="AD55" s="412">
        <v>2.1714400000000001E-4</v>
      </c>
      <c r="AE55" s="402">
        <v>1.6988300000000001E-2</v>
      </c>
    </row>
    <row r="56" spans="1:31" x14ac:dyDescent="0.25">
      <c r="A56" s="415" t="s">
        <v>148</v>
      </c>
      <c r="B56" s="415" t="s">
        <v>149</v>
      </c>
      <c r="C56" s="421" t="s">
        <v>941</v>
      </c>
      <c r="D56" s="423" t="s">
        <v>150</v>
      </c>
      <c r="E56" s="494" t="s">
        <v>941</v>
      </c>
      <c r="F56" s="415" t="s">
        <v>2428</v>
      </c>
      <c r="G56" s="414">
        <v>0.26234000000000002</v>
      </c>
      <c r="H56" s="415">
        <v>0.47299999999999998</v>
      </c>
      <c r="I56" s="413">
        <v>6.0400000000000005E-17</v>
      </c>
      <c r="J56" s="414">
        <v>0.41170000000000001</v>
      </c>
      <c r="K56" s="408">
        <v>3.7139999999999998E-16</v>
      </c>
      <c r="L56" s="415" t="s">
        <v>35</v>
      </c>
      <c r="M56" s="415" t="s">
        <v>35</v>
      </c>
      <c r="N56" s="415" t="s">
        <v>35</v>
      </c>
      <c r="O56" s="415" t="s">
        <v>35</v>
      </c>
      <c r="P56" s="415" t="s">
        <v>35</v>
      </c>
      <c r="Q56" s="425" t="s">
        <v>35</v>
      </c>
      <c r="R56" s="409" t="s">
        <v>2425</v>
      </c>
      <c r="S56" s="415" t="s">
        <v>2426</v>
      </c>
      <c r="T56" s="415" t="s">
        <v>975</v>
      </c>
      <c r="U56" s="414">
        <v>0.19825999999999999</v>
      </c>
      <c r="V56" s="414">
        <v>-0.80900000000000005</v>
      </c>
      <c r="W56" s="413">
        <v>3.6599999999999999E-41</v>
      </c>
      <c r="X56" s="406">
        <v>-0.77070000000000005</v>
      </c>
      <c r="Y56" s="413">
        <v>1.657E-40</v>
      </c>
      <c r="Z56" s="412">
        <v>7.3036200000000003E-3</v>
      </c>
      <c r="AA56" s="402">
        <v>0.10255400000000001</v>
      </c>
      <c r="AB56" s="415" t="s">
        <v>35</v>
      </c>
      <c r="AC56" s="415" t="s">
        <v>35</v>
      </c>
      <c r="AD56" s="415" t="s">
        <v>35</v>
      </c>
      <c r="AE56" s="425" t="s">
        <v>35</v>
      </c>
    </row>
    <row r="57" spans="1:31" x14ac:dyDescent="0.25">
      <c r="A57" s="415" t="s">
        <v>151</v>
      </c>
      <c r="B57" s="415" t="s">
        <v>152</v>
      </c>
      <c r="C57" s="421" t="s">
        <v>153</v>
      </c>
      <c r="D57" s="423" t="s">
        <v>154</v>
      </c>
      <c r="E57" s="494" t="s">
        <v>2431</v>
      </c>
      <c r="F57" s="415" t="s">
        <v>979</v>
      </c>
      <c r="G57" s="414">
        <v>0.39545000000000002</v>
      </c>
      <c r="H57" s="415">
        <v>0.318</v>
      </c>
      <c r="I57" s="413">
        <v>2.25E-10</v>
      </c>
      <c r="J57" s="414">
        <v>4.3270000000000003E-2</v>
      </c>
      <c r="K57" s="408">
        <v>0.42080000000000001</v>
      </c>
      <c r="L57" s="415" t="s">
        <v>35</v>
      </c>
      <c r="M57" s="415" t="s">
        <v>35</v>
      </c>
      <c r="N57" s="415" t="s">
        <v>35</v>
      </c>
      <c r="O57" s="415" t="s">
        <v>35</v>
      </c>
      <c r="P57" s="415" t="s">
        <v>35</v>
      </c>
      <c r="Q57" s="425" t="s">
        <v>35</v>
      </c>
      <c r="R57" s="409" t="s">
        <v>2432</v>
      </c>
      <c r="S57" s="415" t="s">
        <v>2433</v>
      </c>
      <c r="T57" s="415" t="s">
        <v>976</v>
      </c>
      <c r="U57" s="414">
        <v>0.49085000000000001</v>
      </c>
      <c r="V57" s="414">
        <v>-0.56699999999999995</v>
      </c>
      <c r="W57" s="413">
        <v>3.2499999999999998E-31</v>
      </c>
      <c r="X57" s="406">
        <v>-0.54590000000000005</v>
      </c>
      <c r="Y57" s="413">
        <v>1.423E-22</v>
      </c>
      <c r="Z57" s="412">
        <v>0.23430599999999999</v>
      </c>
      <c r="AA57" s="402">
        <v>0.58770699999999998</v>
      </c>
      <c r="AB57" s="415" t="s">
        <v>35</v>
      </c>
      <c r="AC57" s="415" t="s">
        <v>35</v>
      </c>
      <c r="AD57" s="415" t="s">
        <v>35</v>
      </c>
      <c r="AE57" s="425" t="s">
        <v>35</v>
      </c>
    </row>
    <row r="58" spans="1:31" x14ac:dyDescent="0.25">
      <c r="A58" s="415" t="s">
        <v>151</v>
      </c>
      <c r="B58" s="415" t="s">
        <v>152</v>
      </c>
      <c r="C58" s="421" t="s">
        <v>153</v>
      </c>
      <c r="D58" s="423" t="s">
        <v>154</v>
      </c>
      <c r="E58" s="494" t="s">
        <v>2434</v>
      </c>
      <c r="F58" s="415" t="s">
        <v>979</v>
      </c>
      <c r="G58" s="414">
        <v>0.39545000000000002</v>
      </c>
      <c r="H58" s="415">
        <v>-0.44</v>
      </c>
      <c r="I58" s="413">
        <v>4.9799999999999997E-19</v>
      </c>
      <c r="J58" s="414">
        <v>-2.2200000000000001E-2</v>
      </c>
      <c r="K58" s="408">
        <v>0.69720000000000004</v>
      </c>
      <c r="L58" s="415" t="s">
        <v>35</v>
      </c>
      <c r="M58" s="415" t="s">
        <v>35</v>
      </c>
      <c r="N58" s="415" t="s">
        <v>35</v>
      </c>
      <c r="O58" s="415" t="s">
        <v>35</v>
      </c>
      <c r="P58" s="415" t="s">
        <v>35</v>
      </c>
      <c r="Q58" s="425" t="s">
        <v>35</v>
      </c>
      <c r="R58" s="409" t="s">
        <v>2435</v>
      </c>
      <c r="S58" s="415" t="s">
        <v>2436</v>
      </c>
      <c r="T58" s="415" t="s">
        <v>975</v>
      </c>
      <c r="U58" s="414">
        <v>0.46168999999999999</v>
      </c>
      <c r="V58" s="414">
        <v>-0.68400000000000005</v>
      </c>
      <c r="W58" s="413">
        <v>1.6599999999999999E-46</v>
      </c>
      <c r="X58" s="406">
        <v>-0.66900000000000004</v>
      </c>
      <c r="Y58" s="413">
        <v>6.5059999999999996E-29</v>
      </c>
      <c r="Z58" s="412">
        <v>0.40609299999999998</v>
      </c>
      <c r="AA58" s="402">
        <v>0.85078799999999999</v>
      </c>
      <c r="AB58" s="415" t="s">
        <v>35</v>
      </c>
      <c r="AC58" s="415" t="s">
        <v>35</v>
      </c>
      <c r="AD58" s="415" t="s">
        <v>35</v>
      </c>
      <c r="AE58" s="425" t="s">
        <v>35</v>
      </c>
    </row>
    <row r="59" spans="1:31" x14ac:dyDescent="0.25">
      <c r="A59" s="415" t="s">
        <v>151</v>
      </c>
      <c r="B59" s="415" t="s">
        <v>152</v>
      </c>
      <c r="C59" s="421" t="s">
        <v>153</v>
      </c>
      <c r="D59" s="423" t="s">
        <v>154</v>
      </c>
      <c r="E59" s="494" t="s">
        <v>2437</v>
      </c>
      <c r="F59" s="415" t="s">
        <v>979</v>
      </c>
      <c r="G59" s="414">
        <v>0.39545000000000002</v>
      </c>
      <c r="H59" s="415">
        <v>0.44600000000000001</v>
      </c>
      <c r="I59" s="413">
        <v>1.42E-19</v>
      </c>
      <c r="J59" s="414">
        <v>0.19270000000000001</v>
      </c>
      <c r="K59" s="408">
        <v>4.8260000000000004E-3</v>
      </c>
      <c r="L59" s="415" t="s">
        <v>35</v>
      </c>
      <c r="M59" s="415" t="s">
        <v>35</v>
      </c>
      <c r="N59" s="415" t="s">
        <v>35</v>
      </c>
      <c r="O59" s="415" t="s">
        <v>35</v>
      </c>
      <c r="P59" s="415" t="s">
        <v>35</v>
      </c>
      <c r="Q59" s="425" t="s">
        <v>35</v>
      </c>
      <c r="R59" s="409" t="s">
        <v>2438</v>
      </c>
      <c r="S59" s="415" t="s">
        <v>2439</v>
      </c>
      <c r="T59" s="415" t="s">
        <v>980</v>
      </c>
      <c r="U59" s="414">
        <v>0.45466000000000001</v>
      </c>
      <c r="V59" s="414">
        <v>0.47399999999999998</v>
      </c>
      <c r="W59" s="413">
        <v>1.1899999999999999E-23</v>
      </c>
      <c r="X59" s="406">
        <v>0.34289999999999998</v>
      </c>
      <c r="Y59" s="413">
        <v>2.4569999999999998E-7</v>
      </c>
      <c r="Z59" s="412">
        <v>0.52691699999999997</v>
      </c>
      <c r="AA59" s="402">
        <v>0.98316800000000004</v>
      </c>
      <c r="AB59" s="415" t="s">
        <v>35</v>
      </c>
      <c r="AC59" s="415" t="s">
        <v>35</v>
      </c>
      <c r="AD59" s="415" t="s">
        <v>35</v>
      </c>
      <c r="AE59" s="425" t="s">
        <v>35</v>
      </c>
    </row>
    <row r="60" spans="1:31" x14ac:dyDescent="0.25">
      <c r="A60" s="415" t="s">
        <v>151</v>
      </c>
      <c r="B60" s="415" t="s">
        <v>152</v>
      </c>
      <c r="C60" s="421" t="s">
        <v>153</v>
      </c>
      <c r="D60" s="423" t="s">
        <v>154</v>
      </c>
      <c r="E60" s="494" t="s">
        <v>153</v>
      </c>
      <c r="F60" s="415" t="s">
        <v>979</v>
      </c>
      <c r="G60" s="414">
        <v>0.39545000000000002</v>
      </c>
      <c r="H60" s="415">
        <v>0.32400000000000001</v>
      </c>
      <c r="I60" s="413">
        <v>8.7799999999999997E-11</v>
      </c>
      <c r="J60" s="414">
        <v>-0.1003</v>
      </c>
      <c r="K60" s="408">
        <v>0.61009999999999998</v>
      </c>
      <c r="L60" s="415" t="s">
        <v>35</v>
      </c>
      <c r="M60" s="415" t="s">
        <v>35</v>
      </c>
      <c r="N60" s="415" t="s">
        <v>35</v>
      </c>
      <c r="O60" s="415" t="s">
        <v>35</v>
      </c>
      <c r="P60" s="415" t="s">
        <v>35</v>
      </c>
      <c r="Q60" s="425" t="s">
        <v>35</v>
      </c>
      <c r="R60" s="409" t="s">
        <v>2440</v>
      </c>
      <c r="S60" s="415" t="s">
        <v>2441</v>
      </c>
      <c r="T60" s="415" t="s">
        <v>972</v>
      </c>
      <c r="U60" s="414">
        <v>0.38307000000000002</v>
      </c>
      <c r="V60" s="414">
        <v>0.34100000000000003</v>
      </c>
      <c r="W60" s="413">
        <v>9.2500000000000004E-12</v>
      </c>
      <c r="X60" s="406">
        <v>0.44059999999999999</v>
      </c>
      <c r="Y60" s="413">
        <v>2.596E-2</v>
      </c>
      <c r="Z60" s="412">
        <v>9.0433500000000003E-3</v>
      </c>
      <c r="AA60" s="402">
        <v>1</v>
      </c>
      <c r="AB60" s="415" t="s">
        <v>35</v>
      </c>
      <c r="AC60" s="415" t="s">
        <v>35</v>
      </c>
      <c r="AD60" s="415" t="s">
        <v>35</v>
      </c>
      <c r="AE60" s="425" t="s">
        <v>35</v>
      </c>
    </row>
    <row r="61" spans="1:31" x14ac:dyDescent="0.25">
      <c r="A61" s="415" t="s">
        <v>151</v>
      </c>
      <c r="B61" s="415" t="s">
        <v>152</v>
      </c>
      <c r="C61" s="421" t="s">
        <v>153</v>
      </c>
      <c r="D61" s="423" t="s">
        <v>154</v>
      </c>
      <c r="E61" s="494" t="s">
        <v>2442</v>
      </c>
      <c r="F61" s="415" t="s">
        <v>979</v>
      </c>
      <c r="G61" s="414">
        <v>0.39545000000000002</v>
      </c>
      <c r="H61" s="415">
        <v>-0.26100000000000001</v>
      </c>
      <c r="I61" s="413">
        <v>2.0100000000000001E-7</v>
      </c>
      <c r="J61" s="414">
        <v>-3.986E-2</v>
      </c>
      <c r="K61" s="408">
        <v>0.40079999999999999</v>
      </c>
      <c r="L61" s="415" t="s">
        <v>35</v>
      </c>
      <c r="M61" s="415" t="s">
        <v>35</v>
      </c>
      <c r="N61" s="415" t="s">
        <v>35</v>
      </c>
      <c r="O61" s="415" t="s">
        <v>35</v>
      </c>
      <c r="P61" s="415" t="s">
        <v>35</v>
      </c>
      <c r="Q61" s="425" t="s">
        <v>35</v>
      </c>
      <c r="R61" s="409" t="s">
        <v>2443</v>
      </c>
      <c r="S61" s="415" t="s">
        <v>2444</v>
      </c>
      <c r="T61" s="415" t="s">
        <v>986</v>
      </c>
      <c r="U61" s="414">
        <v>0.31512000000000001</v>
      </c>
      <c r="V61" s="414">
        <v>-0.748</v>
      </c>
      <c r="W61" s="413">
        <v>2.4099999999999999E-44</v>
      </c>
      <c r="X61" s="406">
        <v>-0.73109999999999997</v>
      </c>
      <c r="Y61" s="413">
        <v>1.742E-38</v>
      </c>
      <c r="Z61" s="412">
        <v>0.111858</v>
      </c>
      <c r="AA61" s="402">
        <v>0.398955</v>
      </c>
      <c r="AB61" s="415" t="s">
        <v>35</v>
      </c>
      <c r="AC61" s="415" t="s">
        <v>35</v>
      </c>
      <c r="AD61" s="415" t="s">
        <v>35</v>
      </c>
      <c r="AE61" s="425" t="s">
        <v>35</v>
      </c>
    </row>
    <row r="62" spans="1:31" x14ac:dyDescent="0.25">
      <c r="A62" s="415" t="s">
        <v>160</v>
      </c>
      <c r="B62" s="415" t="s">
        <v>161</v>
      </c>
      <c r="C62" s="421" t="s">
        <v>948</v>
      </c>
      <c r="D62" s="423" t="s">
        <v>162</v>
      </c>
      <c r="E62" s="494" t="s">
        <v>2445</v>
      </c>
      <c r="F62" s="415" t="s">
        <v>976</v>
      </c>
      <c r="G62" s="414">
        <v>0.23951</v>
      </c>
      <c r="H62" s="415">
        <v>-0.68500000000000005</v>
      </c>
      <c r="I62" s="413">
        <v>2.75E-33</v>
      </c>
      <c r="J62" s="414">
        <v>-9.0870000000000006E-2</v>
      </c>
      <c r="K62" s="408">
        <v>7.2709999999999997E-2</v>
      </c>
      <c r="L62" s="415" t="s">
        <v>35</v>
      </c>
      <c r="M62" s="415" t="s">
        <v>35</v>
      </c>
      <c r="N62" s="415" t="s">
        <v>35</v>
      </c>
      <c r="O62" s="415" t="s">
        <v>35</v>
      </c>
      <c r="P62" s="415" t="s">
        <v>35</v>
      </c>
      <c r="Q62" s="425" t="s">
        <v>35</v>
      </c>
      <c r="R62" s="409" t="s">
        <v>2446</v>
      </c>
      <c r="S62" s="415" t="s">
        <v>2447</v>
      </c>
      <c r="T62" s="415" t="s">
        <v>974</v>
      </c>
      <c r="U62" s="414">
        <v>0.25259999999999999</v>
      </c>
      <c r="V62" s="414">
        <v>-1.1200000000000001</v>
      </c>
      <c r="W62" s="413">
        <v>3.1500000000000001E-112</v>
      </c>
      <c r="X62" s="406">
        <v>-1.079</v>
      </c>
      <c r="Y62" s="413">
        <v>1.0929999999999999E-81</v>
      </c>
      <c r="Z62" s="412">
        <v>0.29843900000000001</v>
      </c>
      <c r="AA62" s="402">
        <v>0.56575699999999995</v>
      </c>
      <c r="AB62" s="415" t="s">
        <v>35</v>
      </c>
      <c r="AC62" s="415" t="s">
        <v>35</v>
      </c>
      <c r="AD62" s="415" t="s">
        <v>35</v>
      </c>
      <c r="AE62" s="425" t="s">
        <v>35</v>
      </c>
    </row>
    <row r="63" spans="1:31" x14ac:dyDescent="0.25">
      <c r="A63" s="415" t="s">
        <v>160</v>
      </c>
      <c r="B63" s="415" t="s">
        <v>161</v>
      </c>
      <c r="C63" s="421" t="s">
        <v>948</v>
      </c>
      <c r="D63" s="423" t="s">
        <v>162</v>
      </c>
      <c r="E63" s="494" t="s">
        <v>2448</v>
      </c>
      <c r="F63" s="415" t="s">
        <v>976</v>
      </c>
      <c r="G63" s="414">
        <v>0.23951</v>
      </c>
      <c r="H63" s="415">
        <v>0.33800000000000002</v>
      </c>
      <c r="I63" s="413">
        <v>9.2699999999999996E-9</v>
      </c>
      <c r="J63" s="414">
        <v>0.11899999999999999</v>
      </c>
      <c r="K63" s="408">
        <v>7.2300000000000003E-2</v>
      </c>
      <c r="L63" s="415" t="s">
        <v>35</v>
      </c>
      <c r="M63" s="415" t="s">
        <v>35</v>
      </c>
      <c r="N63" s="415" t="s">
        <v>35</v>
      </c>
      <c r="O63" s="415" t="s">
        <v>35</v>
      </c>
      <c r="P63" s="415" t="s">
        <v>35</v>
      </c>
      <c r="Q63" s="425" t="s">
        <v>35</v>
      </c>
      <c r="R63" s="409" t="s">
        <v>2449</v>
      </c>
      <c r="S63" s="415" t="s">
        <v>2450</v>
      </c>
      <c r="T63" s="415" t="s">
        <v>975</v>
      </c>
      <c r="U63" s="414">
        <v>0.22792999999999999</v>
      </c>
      <c r="V63" s="414">
        <v>0.49</v>
      </c>
      <c r="W63" s="413">
        <v>1.26E-16</v>
      </c>
      <c r="X63" s="406">
        <v>0.4269</v>
      </c>
      <c r="Y63" s="413">
        <v>4.3089999999999998E-10</v>
      </c>
      <c r="Z63" s="412">
        <v>0.27118999999999999</v>
      </c>
      <c r="AA63" s="402">
        <v>0.53803299999999998</v>
      </c>
      <c r="AB63" s="415" t="s">
        <v>35</v>
      </c>
      <c r="AC63" s="415" t="s">
        <v>35</v>
      </c>
      <c r="AD63" s="415" t="s">
        <v>35</v>
      </c>
      <c r="AE63" s="425" t="s">
        <v>35</v>
      </c>
    </row>
    <row r="64" spans="1:31" x14ac:dyDescent="0.25">
      <c r="A64" s="415" t="s">
        <v>160</v>
      </c>
      <c r="B64" s="415" t="s">
        <v>161</v>
      </c>
      <c r="C64" s="421" t="s">
        <v>948</v>
      </c>
      <c r="D64" s="423" t="s">
        <v>162</v>
      </c>
      <c r="E64" s="494" t="s">
        <v>950</v>
      </c>
      <c r="F64" s="415" t="s">
        <v>976</v>
      </c>
      <c r="G64" s="414">
        <v>0.23951</v>
      </c>
      <c r="H64" s="415">
        <v>-0.24299999999999999</v>
      </c>
      <c r="I64" s="413">
        <v>4.1199999999999999E-5</v>
      </c>
      <c r="J64" s="414">
        <v>-0.1447</v>
      </c>
      <c r="K64" s="408">
        <v>1.7610000000000001E-2</v>
      </c>
      <c r="L64" s="415" t="s">
        <v>35</v>
      </c>
      <c r="M64" s="415" t="s">
        <v>35</v>
      </c>
      <c r="N64" s="415" t="s">
        <v>35</v>
      </c>
      <c r="O64" s="415" t="s">
        <v>35</v>
      </c>
      <c r="P64" s="415" t="s">
        <v>35</v>
      </c>
      <c r="Q64" s="425" t="s">
        <v>35</v>
      </c>
      <c r="R64" s="409" t="s">
        <v>2451</v>
      </c>
      <c r="S64" s="415" t="s">
        <v>2452</v>
      </c>
      <c r="T64" s="415" t="s">
        <v>980</v>
      </c>
      <c r="U64" s="414">
        <v>3.9460000000000002E-2</v>
      </c>
      <c r="V64" s="414">
        <v>0.80900000000000005</v>
      </c>
      <c r="W64" s="413">
        <v>6.4400000000000005E-10</v>
      </c>
      <c r="X64" s="406">
        <v>0.72970000000000002</v>
      </c>
      <c r="Y64" s="413">
        <v>1.1529999999999999E-7</v>
      </c>
      <c r="Z64" s="412">
        <v>0.116809</v>
      </c>
      <c r="AA64" s="402">
        <v>0.94469800000000004</v>
      </c>
      <c r="AB64" s="415" t="s">
        <v>35</v>
      </c>
      <c r="AC64" s="415" t="s">
        <v>35</v>
      </c>
      <c r="AD64" s="415" t="s">
        <v>35</v>
      </c>
      <c r="AE64" s="425" t="s">
        <v>35</v>
      </c>
    </row>
    <row r="65" spans="1:31" x14ac:dyDescent="0.25">
      <c r="A65" s="415" t="s">
        <v>160</v>
      </c>
      <c r="B65" s="415" t="s">
        <v>161</v>
      </c>
      <c r="C65" s="421" t="s">
        <v>948</v>
      </c>
      <c r="D65" s="423" t="s">
        <v>162</v>
      </c>
      <c r="E65" s="494" t="s">
        <v>2453</v>
      </c>
      <c r="F65" s="415" t="s">
        <v>976</v>
      </c>
      <c r="G65" s="414">
        <v>0.23951</v>
      </c>
      <c r="H65" s="415">
        <v>-0.23300000000000001</v>
      </c>
      <c r="I65" s="413">
        <v>8.1000000000000004E-5</v>
      </c>
      <c r="J65" s="414">
        <v>-7.6609999999999998E-2</v>
      </c>
      <c r="K65" s="408">
        <v>0.27889999999999998</v>
      </c>
      <c r="L65" s="415" t="s">
        <v>35</v>
      </c>
      <c r="M65" s="415" t="s">
        <v>35</v>
      </c>
      <c r="N65" s="415" t="s">
        <v>35</v>
      </c>
      <c r="O65" s="415" t="s">
        <v>35</v>
      </c>
      <c r="P65" s="415" t="s">
        <v>35</v>
      </c>
      <c r="Q65" s="425" t="s">
        <v>35</v>
      </c>
      <c r="R65" s="409" t="s">
        <v>2454</v>
      </c>
      <c r="S65" s="415" t="s">
        <v>2455</v>
      </c>
      <c r="T65" s="415" t="s">
        <v>2428</v>
      </c>
      <c r="U65" s="414">
        <v>0.24546000000000001</v>
      </c>
      <c r="V65" s="414">
        <v>-0.315</v>
      </c>
      <c r="W65" s="413">
        <v>6.7799999999999998E-8</v>
      </c>
      <c r="X65" s="406">
        <v>-0.26819999999999999</v>
      </c>
      <c r="Y65" s="413">
        <v>1.337E-4</v>
      </c>
      <c r="Z65" s="412">
        <v>0.31847599999999998</v>
      </c>
      <c r="AA65" s="402">
        <v>0.57338500000000003</v>
      </c>
      <c r="AB65" s="415" t="s">
        <v>35</v>
      </c>
      <c r="AC65" s="415" t="s">
        <v>35</v>
      </c>
      <c r="AD65" s="415" t="s">
        <v>35</v>
      </c>
      <c r="AE65" s="425" t="s">
        <v>35</v>
      </c>
    </row>
    <row r="66" spans="1:31" x14ac:dyDescent="0.25">
      <c r="A66" s="415" t="s">
        <v>163</v>
      </c>
      <c r="B66" s="415" t="s">
        <v>164</v>
      </c>
      <c r="C66" s="421" t="s">
        <v>949</v>
      </c>
      <c r="D66" s="423" t="s">
        <v>165</v>
      </c>
      <c r="E66" s="494" t="s">
        <v>2445</v>
      </c>
      <c r="F66" s="415" t="s">
        <v>974</v>
      </c>
      <c r="G66" s="414">
        <v>0.29602000000000001</v>
      </c>
      <c r="H66" s="415">
        <v>-0.58299999999999996</v>
      </c>
      <c r="I66" s="413">
        <v>6.35E-27</v>
      </c>
      <c r="J66" s="414">
        <v>-1.184E-2</v>
      </c>
      <c r="K66" s="408">
        <v>0.80379999999999996</v>
      </c>
      <c r="L66" s="415" t="s">
        <v>35</v>
      </c>
      <c r="M66" s="415" t="s">
        <v>35</v>
      </c>
      <c r="N66" s="415" t="s">
        <v>35</v>
      </c>
      <c r="O66" s="415" t="s">
        <v>35</v>
      </c>
      <c r="P66" s="415" t="s">
        <v>35</v>
      </c>
      <c r="Q66" s="425" t="s">
        <v>35</v>
      </c>
      <c r="R66" s="409" t="s">
        <v>2446</v>
      </c>
      <c r="S66" s="415" t="s">
        <v>2447</v>
      </c>
      <c r="T66" s="415" t="s">
        <v>974</v>
      </c>
      <c r="U66" s="414">
        <v>0.25259999999999999</v>
      </c>
      <c r="V66" s="414">
        <v>-1.1200000000000001</v>
      </c>
      <c r="W66" s="413">
        <v>3.1500000000000001E-112</v>
      </c>
      <c r="X66" s="406">
        <v>-1.1220000000000001</v>
      </c>
      <c r="Y66" s="413">
        <v>3.2919999999999998E-87</v>
      </c>
      <c r="Z66" s="412">
        <v>0.30094500000000002</v>
      </c>
      <c r="AA66" s="402">
        <v>0.61203200000000002</v>
      </c>
      <c r="AB66" s="415" t="s">
        <v>35</v>
      </c>
      <c r="AC66" s="415" t="s">
        <v>35</v>
      </c>
      <c r="AD66" s="415" t="s">
        <v>35</v>
      </c>
      <c r="AE66" s="425" t="s">
        <v>35</v>
      </c>
    </row>
    <row r="67" spans="1:31" x14ac:dyDescent="0.25">
      <c r="A67" s="415" t="s">
        <v>163</v>
      </c>
      <c r="B67" s="415" t="s">
        <v>164</v>
      </c>
      <c r="C67" s="421" t="s">
        <v>949</v>
      </c>
      <c r="D67" s="423" t="s">
        <v>165</v>
      </c>
      <c r="E67" s="494" t="s">
        <v>2448</v>
      </c>
      <c r="F67" s="415" t="s">
        <v>974</v>
      </c>
      <c r="G67" s="414">
        <v>0.29602000000000001</v>
      </c>
      <c r="H67" s="415">
        <v>0.29399999999999998</v>
      </c>
      <c r="I67" s="413">
        <v>1.5200000000000001E-7</v>
      </c>
      <c r="J67" s="414">
        <v>-4.9439999999999998E-2</v>
      </c>
      <c r="K67" s="408">
        <v>0.43869999999999998</v>
      </c>
      <c r="L67" s="415" t="s">
        <v>35</v>
      </c>
      <c r="M67" s="415" t="s">
        <v>35</v>
      </c>
      <c r="N67" s="415" t="s">
        <v>35</v>
      </c>
      <c r="O67" s="415" t="s">
        <v>35</v>
      </c>
      <c r="P67" s="415" t="s">
        <v>35</v>
      </c>
      <c r="Q67" s="425" t="s">
        <v>35</v>
      </c>
      <c r="R67" s="409" t="s">
        <v>2456</v>
      </c>
      <c r="S67" s="415" t="s">
        <v>2457</v>
      </c>
      <c r="T67" s="415" t="s">
        <v>974</v>
      </c>
      <c r="U67" s="414">
        <v>0.24704000000000001</v>
      </c>
      <c r="V67" s="414">
        <v>0.60699999999999998</v>
      </c>
      <c r="W67" s="413">
        <v>2.5699999999999999E-26</v>
      </c>
      <c r="X67" s="406">
        <v>0.63360000000000005</v>
      </c>
      <c r="Y67" s="413">
        <v>3.6619999999999998E-20</v>
      </c>
      <c r="Z67" s="412">
        <v>0.32984599999999997</v>
      </c>
      <c r="AA67" s="402">
        <v>0.65081999999999995</v>
      </c>
      <c r="AB67" s="415" t="s">
        <v>35</v>
      </c>
      <c r="AC67" s="415" t="s">
        <v>35</v>
      </c>
      <c r="AD67" s="415" t="s">
        <v>35</v>
      </c>
      <c r="AE67" s="425" t="s">
        <v>35</v>
      </c>
    </row>
    <row r="68" spans="1:31" x14ac:dyDescent="0.25">
      <c r="A68" s="415" t="s">
        <v>163</v>
      </c>
      <c r="B68" s="415" t="s">
        <v>164</v>
      </c>
      <c r="C68" s="421" t="s">
        <v>949</v>
      </c>
      <c r="D68" s="423" t="s">
        <v>165</v>
      </c>
      <c r="E68" s="494" t="s">
        <v>950</v>
      </c>
      <c r="F68" s="415" t="s">
        <v>974</v>
      </c>
      <c r="G68" s="414">
        <v>0.29602000000000001</v>
      </c>
      <c r="H68" s="415">
        <v>-0.217</v>
      </c>
      <c r="I68" s="413">
        <v>1.08E-4</v>
      </c>
      <c r="J68" s="414">
        <v>-0.12690000000000001</v>
      </c>
      <c r="K68" s="408">
        <v>2.683E-2</v>
      </c>
      <c r="L68" s="415" t="s">
        <v>35</v>
      </c>
      <c r="M68" s="415" t="s">
        <v>35</v>
      </c>
      <c r="N68" s="415" t="s">
        <v>35</v>
      </c>
      <c r="O68" s="415" t="s">
        <v>35</v>
      </c>
      <c r="P68" s="415" t="s">
        <v>35</v>
      </c>
      <c r="Q68" s="425" t="s">
        <v>35</v>
      </c>
      <c r="R68" s="409" t="s">
        <v>2451</v>
      </c>
      <c r="S68" s="415" t="s">
        <v>2452</v>
      </c>
      <c r="T68" s="415" t="s">
        <v>980</v>
      </c>
      <c r="U68" s="414">
        <v>3.9460000000000002E-2</v>
      </c>
      <c r="V68" s="414">
        <v>0.80900000000000005</v>
      </c>
      <c r="W68" s="413">
        <v>6.4400000000000005E-10</v>
      </c>
      <c r="X68" s="406">
        <v>0.72499999999999998</v>
      </c>
      <c r="Y68" s="413">
        <v>9.8749999999999994E-8</v>
      </c>
      <c r="Z68" s="412">
        <v>9.1906500000000002E-2</v>
      </c>
      <c r="AA68" s="402">
        <v>0.96818899999999997</v>
      </c>
      <c r="AB68" s="415" t="s">
        <v>35</v>
      </c>
      <c r="AC68" s="415" t="s">
        <v>35</v>
      </c>
      <c r="AD68" s="415" t="s">
        <v>35</v>
      </c>
      <c r="AE68" s="425" t="s">
        <v>35</v>
      </c>
    </row>
    <row r="69" spans="1:31" x14ac:dyDescent="0.25">
      <c r="A69" s="415" t="s">
        <v>166</v>
      </c>
      <c r="B69" s="415" t="s">
        <v>2458</v>
      </c>
      <c r="C69" s="421" t="s">
        <v>950</v>
      </c>
      <c r="D69" s="423" t="s">
        <v>168</v>
      </c>
      <c r="E69" s="494" t="s">
        <v>2445</v>
      </c>
      <c r="F69" s="415" t="s">
        <v>986</v>
      </c>
      <c r="G69" s="414">
        <v>0.30985000000000001</v>
      </c>
      <c r="H69" s="415">
        <v>-0.7</v>
      </c>
      <c r="I69" s="413">
        <v>1.2E-42</v>
      </c>
      <c r="J69" s="414">
        <v>3.517E-2</v>
      </c>
      <c r="K69" s="408">
        <v>0.51029999999999998</v>
      </c>
      <c r="L69" s="415" t="s">
        <v>35</v>
      </c>
      <c r="M69" s="415" t="s">
        <v>35</v>
      </c>
      <c r="N69" s="415" t="s">
        <v>35</v>
      </c>
      <c r="O69" s="415" t="s">
        <v>35</v>
      </c>
      <c r="P69" s="415" t="s">
        <v>35</v>
      </c>
      <c r="Q69" s="425" t="s">
        <v>35</v>
      </c>
      <c r="R69" s="409" t="s">
        <v>2446</v>
      </c>
      <c r="S69" s="415" t="s">
        <v>2447</v>
      </c>
      <c r="T69" s="415" t="s">
        <v>974</v>
      </c>
      <c r="U69" s="414">
        <v>0.25259999999999999</v>
      </c>
      <c r="V69" s="414">
        <v>-1.1200000000000001</v>
      </c>
      <c r="W69" s="413">
        <v>3.1500000000000001E-112</v>
      </c>
      <c r="X69" s="406">
        <v>-1.151</v>
      </c>
      <c r="Y69" s="413">
        <v>7.9500000000000004E-72</v>
      </c>
      <c r="Z69" s="412">
        <v>0.48119899999999999</v>
      </c>
      <c r="AA69" s="402">
        <v>0.799315</v>
      </c>
      <c r="AB69" s="415" t="s">
        <v>35</v>
      </c>
      <c r="AC69" s="415" t="s">
        <v>35</v>
      </c>
      <c r="AD69" s="415" t="s">
        <v>35</v>
      </c>
      <c r="AE69" s="425" t="s">
        <v>35</v>
      </c>
    </row>
    <row r="70" spans="1:31" x14ac:dyDescent="0.25">
      <c r="A70" s="415" t="s">
        <v>166</v>
      </c>
      <c r="B70" s="415" t="s">
        <v>2458</v>
      </c>
      <c r="C70" s="421" t="s">
        <v>950</v>
      </c>
      <c r="D70" s="423" t="s">
        <v>168</v>
      </c>
      <c r="E70" s="494" t="s">
        <v>2448</v>
      </c>
      <c r="F70" s="415" t="s">
        <v>986</v>
      </c>
      <c r="G70" s="414">
        <v>0.30985000000000001</v>
      </c>
      <c r="H70" s="415">
        <v>0.40100000000000002</v>
      </c>
      <c r="I70" s="413">
        <v>5.4199999999999999E-14</v>
      </c>
      <c r="J70" s="414">
        <v>5.9329999999999999E-3</v>
      </c>
      <c r="K70" s="408">
        <v>0.93489999999999995</v>
      </c>
      <c r="L70" s="415" t="s">
        <v>35</v>
      </c>
      <c r="M70" s="415" t="s">
        <v>35</v>
      </c>
      <c r="N70" s="415" t="s">
        <v>35</v>
      </c>
      <c r="O70" s="415" t="s">
        <v>35</v>
      </c>
      <c r="P70" s="415" t="s">
        <v>35</v>
      </c>
      <c r="Q70" s="425" t="s">
        <v>35</v>
      </c>
      <c r="R70" s="409" t="s">
        <v>2456</v>
      </c>
      <c r="S70" s="415" t="s">
        <v>2457</v>
      </c>
      <c r="T70" s="415" t="s">
        <v>974</v>
      </c>
      <c r="U70" s="414">
        <v>0.24704000000000001</v>
      </c>
      <c r="V70" s="414">
        <v>0.60699999999999998</v>
      </c>
      <c r="W70" s="413">
        <v>2.5699999999999999E-26</v>
      </c>
      <c r="X70" s="406">
        <v>0.59930000000000005</v>
      </c>
      <c r="Y70" s="413">
        <v>1.052E-13</v>
      </c>
      <c r="Z70" s="412">
        <v>0.50610100000000002</v>
      </c>
      <c r="AA70" s="402">
        <v>0.832623</v>
      </c>
      <c r="AB70" s="415" t="s">
        <v>35</v>
      </c>
      <c r="AC70" s="415" t="s">
        <v>35</v>
      </c>
      <c r="AD70" s="415" t="s">
        <v>35</v>
      </c>
      <c r="AE70" s="425" t="s">
        <v>35</v>
      </c>
    </row>
    <row r="71" spans="1:31" x14ac:dyDescent="0.25">
      <c r="A71" s="415" t="s">
        <v>166</v>
      </c>
      <c r="B71" s="415" t="s">
        <v>2458</v>
      </c>
      <c r="C71" s="421" t="s">
        <v>950</v>
      </c>
      <c r="D71" s="423" t="s">
        <v>168</v>
      </c>
      <c r="E71" s="494" t="s">
        <v>950</v>
      </c>
      <c r="F71" s="415" t="s">
        <v>986</v>
      </c>
      <c r="G71" s="414">
        <v>0.30985000000000001</v>
      </c>
      <c r="H71" s="415">
        <v>-0.23799999999999999</v>
      </c>
      <c r="I71" s="413">
        <v>9.5899999999999997E-6</v>
      </c>
      <c r="J71" s="414">
        <v>-0.1255</v>
      </c>
      <c r="K71" s="408">
        <v>2.0709999999999999E-2</v>
      </c>
      <c r="L71" s="415" t="s">
        <v>35</v>
      </c>
      <c r="M71" s="415" t="s">
        <v>35</v>
      </c>
      <c r="N71" s="415" t="s">
        <v>35</v>
      </c>
      <c r="O71" s="415" t="s">
        <v>35</v>
      </c>
      <c r="P71" s="415" t="s">
        <v>35</v>
      </c>
      <c r="Q71" s="425" t="s">
        <v>35</v>
      </c>
      <c r="R71" s="409" t="s">
        <v>2451</v>
      </c>
      <c r="S71" s="415" t="s">
        <v>2452</v>
      </c>
      <c r="T71" s="415" t="s">
        <v>980</v>
      </c>
      <c r="U71" s="414">
        <v>3.9460000000000002E-2</v>
      </c>
      <c r="V71" s="414">
        <v>0.99299999999999999</v>
      </c>
      <c r="W71" s="413">
        <v>2.0999999999999999E-14</v>
      </c>
      <c r="X71" s="406">
        <v>0.89890000000000003</v>
      </c>
      <c r="Y71" s="413">
        <v>2.503E-11</v>
      </c>
      <c r="Z71" s="412">
        <v>9.1912900000000006E-2</v>
      </c>
      <c r="AA71" s="402">
        <v>1</v>
      </c>
      <c r="AB71" s="415" t="s">
        <v>35</v>
      </c>
      <c r="AC71" s="415" t="s">
        <v>35</v>
      </c>
      <c r="AD71" s="415" t="s">
        <v>35</v>
      </c>
      <c r="AE71" s="425" t="s">
        <v>35</v>
      </c>
    </row>
    <row r="72" spans="1:31" x14ac:dyDescent="0.25">
      <c r="A72" s="415" t="s">
        <v>166</v>
      </c>
      <c r="B72" s="415" t="s">
        <v>2458</v>
      </c>
      <c r="C72" s="421" t="s">
        <v>950</v>
      </c>
      <c r="D72" s="423" t="s">
        <v>168</v>
      </c>
      <c r="E72" s="494" t="s">
        <v>2453</v>
      </c>
      <c r="F72" s="415" t="s">
        <v>986</v>
      </c>
      <c r="G72" s="414">
        <v>0.30985000000000001</v>
      </c>
      <c r="H72" s="415">
        <v>-0.22</v>
      </c>
      <c r="I72" s="413">
        <v>4.4299999999999999E-5</v>
      </c>
      <c r="J72" s="414">
        <v>-2.964E-2</v>
      </c>
      <c r="K72" s="408">
        <v>0.69430000000000003</v>
      </c>
      <c r="L72" s="415" t="s">
        <v>35</v>
      </c>
      <c r="M72" s="415" t="s">
        <v>35</v>
      </c>
      <c r="N72" s="415" t="s">
        <v>35</v>
      </c>
      <c r="O72" s="415" t="s">
        <v>35</v>
      </c>
      <c r="P72" s="415" t="s">
        <v>35</v>
      </c>
      <c r="Q72" s="425" t="s">
        <v>35</v>
      </c>
      <c r="R72" s="409" t="s">
        <v>2454</v>
      </c>
      <c r="S72" s="415" t="s">
        <v>2455</v>
      </c>
      <c r="T72" s="415" t="s">
        <v>2428</v>
      </c>
      <c r="U72" s="414">
        <v>0.24546000000000001</v>
      </c>
      <c r="V72" s="414">
        <v>-0.315</v>
      </c>
      <c r="W72" s="413">
        <v>6.7799999999999998E-8</v>
      </c>
      <c r="X72" s="406">
        <v>-0.29010000000000002</v>
      </c>
      <c r="Y72" s="413">
        <v>4.1560000000000002E-4</v>
      </c>
      <c r="Z72" s="412">
        <v>0.50623200000000002</v>
      </c>
      <c r="AA72" s="402">
        <v>0.83565</v>
      </c>
      <c r="AB72" s="415" t="s">
        <v>35</v>
      </c>
      <c r="AC72" s="415" t="s">
        <v>35</v>
      </c>
      <c r="AD72" s="415" t="s">
        <v>35</v>
      </c>
      <c r="AE72" s="425" t="s">
        <v>35</v>
      </c>
    </row>
    <row r="73" spans="1:31" x14ac:dyDescent="0.25">
      <c r="A73" s="495" t="s">
        <v>169</v>
      </c>
      <c r="B73" s="495" t="s">
        <v>170</v>
      </c>
      <c r="C73" s="429" t="s">
        <v>171</v>
      </c>
      <c r="D73" s="496" t="s">
        <v>172</v>
      </c>
      <c r="E73" s="497" t="s">
        <v>2459</v>
      </c>
      <c r="F73" s="495" t="s">
        <v>983</v>
      </c>
      <c r="G73" s="498">
        <v>3.5060000000000001E-2</v>
      </c>
      <c r="H73" s="495">
        <v>0.54200000000000004</v>
      </c>
      <c r="I73" s="499">
        <v>1.18E-4</v>
      </c>
      <c r="J73" s="498">
        <v>-6.0659999999999998</v>
      </c>
      <c r="K73" s="500">
        <v>0.49959999999999999</v>
      </c>
      <c r="L73" s="495" t="s">
        <v>35</v>
      </c>
      <c r="M73" s="495" t="s">
        <v>35</v>
      </c>
      <c r="N73" s="495" t="s">
        <v>35</v>
      </c>
      <c r="O73" s="495" t="s">
        <v>35</v>
      </c>
      <c r="P73" s="495" t="s">
        <v>35</v>
      </c>
      <c r="Q73" s="504" t="s">
        <v>35</v>
      </c>
      <c r="R73" s="501" t="s">
        <v>2460</v>
      </c>
      <c r="S73" s="495" t="s">
        <v>2461</v>
      </c>
      <c r="T73" s="495" t="s">
        <v>976</v>
      </c>
      <c r="U73" s="498">
        <v>3.499E-2</v>
      </c>
      <c r="V73" s="498">
        <v>0.54500000000000004</v>
      </c>
      <c r="W73" s="499">
        <v>1.12E-4</v>
      </c>
      <c r="X73" s="502">
        <v>7.117</v>
      </c>
      <c r="Y73" s="499">
        <v>0.43020000000000003</v>
      </c>
      <c r="Z73" s="420">
        <v>1</v>
      </c>
      <c r="AA73" s="503">
        <v>1</v>
      </c>
      <c r="AB73" s="495" t="s">
        <v>35</v>
      </c>
      <c r="AC73" s="495" t="s">
        <v>35</v>
      </c>
      <c r="AD73" s="495" t="s">
        <v>35</v>
      </c>
      <c r="AE73" s="504" t="s">
        <v>35</v>
      </c>
    </row>
    <row r="74" spans="1:31" x14ac:dyDescent="0.25">
      <c r="A74" s="495" t="s">
        <v>169</v>
      </c>
      <c r="B74" s="495" t="s">
        <v>170</v>
      </c>
      <c r="C74" s="429" t="s">
        <v>171</v>
      </c>
      <c r="D74" s="496" t="s">
        <v>172</v>
      </c>
      <c r="E74" s="497" t="s">
        <v>171</v>
      </c>
      <c r="F74" s="495" t="s">
        <v>983</v>
      </c>
      <c r="G74" s="498">
        <v>3.5060000000000001E-2</v>
      </c>
      <c r="H74" s="495">
        <v>0.96199999999999997</v>
      </c>
      <c r="I74" s="499">
        <v>4.6499999999999998E-12</v>
      </c>
      <c r="J74" s="498">
        <v>0.44950000000000001</v>
      </c>
      <c r="K74" s="500">
        <v>0.25109999999999999</v>
      </c>
      <c r="L74" s="495" t="s">
        <v>35</v>
      </c>
      <c r="M74" s="495" t="s">
        <v>35</v>
      </c>
      <c r="N74" s="495" t="s">
        <v>35</v>
      </c>
      <c r="O74" s="495" t="s">
        <v>35</v>
      </c>
      <c r="P74" s="495" t="s">
        <v>35</v>
      </c>
      <c r="Q74" s="504" t="s">
        <v>35</v>
      </c>
      <c r="R74" s="501" t="s">
        <v>2462</v>
      </c>
      <c r="S74" s="495" t="s">
        <v>2463</v>
      </c>
      <c r="T74" s="495" t="s">
        <v>2269</v>
      </c>
      <c r="U74" s="498">
        <v>3.4939999999999999E-2</v>
      </c>
      <c r="V74" s="498">
        <v>0.99299999999999999</v>
      </c>
      <c r="W74" s="499">
        <v>3.5E-12</v>
      </c>
      <c r="X74" s="502">
        <v>0.55859999999999999</v>
      </c>
      <c r="Y74" s="499">
        <v>0.16520000000000001</v>
      </c>
      <c r="Z74" s="420">
        <v>0.86883200000000005</v>
      </c>
      <c r="AA74" s="503">
        <v>0.94118000000000002</v>
      </c>
      <c r="AB74" s="495" t="s">
        <v>35</v>
      </c>
      <c r="AC74" s="495" t="s">
        <v>35</v>
      </c>
      <c r="AD74" s="495" t="s">
        <v>35</v>
      </c>
      <c r="AE74" s="504" t="s">
        <v>35</v>
      </c>
    </row>
    <row r="75" spans="1:31" x14ac:dyDescent="0.25">
      <c r="A75" s="415" t="s">
        <v>169</v>
      </c>
      <c r="B75" s="415" t="s">
        <v>170</v>
      </c>
      <c r="C75" s="421" t="s">
        <v>171</v>
      </c>
      <c r="D75" s="423" t="s">
        <v>172</v>
      </c>
      <c r="E75" s="494" t="s">
        <v>2464</v>
      </c>
      <c r="F75" s="415" t="s">
        <v>983</v>
      </c>
      <c r="G75" s="414">
        <v>3.5060000000000001E-2</v>
      </c>
      <c r="H75" s="415">
        <v>0.51900000000000002</v>
      </c>
      <c r="I75" s="413">
        <v>2.14E-4</v>
      </c>
      <c r="J75" s="414">
        <v>-4.1529999999999996</v>
      </c>
      <c r="K75" s="408">
        <v>0.12429999999999999</v>
      </c>
      <c r="L75" s="415" t="s">
        <v>35</v>
      </c>
      <c r="M75" s="415" t="s">
        <v>35</v>
      </c>
      <c r="N75" s="415" t="s">
        <v>35</v>
      </c>
      <c r="O75" s="415" t="s">
        <v>35</v>
      </c>
      <c r="P75" s="415" t="s">
        <v>35</v>
      </c>
      <c r="Q75" s="425" t="s">
        <v>35</v>
      </c>
      <c r="R75" s="409" t="s">
        <v>2465</v>
      </c>
      <c r="S75" s="415" t="s">
        <v>2466</v>
      </c>
      <c r="T75" s="415" t="s">
        <v>980</v>
      </c>
      <c r="U75" s="414">
        <v>3.483E-2</v>
      </c>
      <c r="V75" s="414">
        <v>0.53400000000000003</v>
      </c>
      <c r="W75" s="413">
        <v>1.5100000000000001E-4</v>
      </c>
      <c r="X75" s="406">
        <v>4.7839999999999998</v>
      </c>
      <c r="Y75" s="413">
        <v>7.8240000000000004E-2</v>
      </c>
      <c r="Z75" s="412">
        <v>1</v>
      </c>
      <c r="AA75" s="402">
        <v>1</v>
      </c>
      <c r="AB75" s="415" t="s">
        <v>35</v>
      </c>
      <c r="AC75" s="415" t="s">
        <v>35</v>
      </c>
      <c r="AD75" s="415" t="s">
        <v>35</v>
      </c>
      <c r="AE75" s="425" t="s">
        <v>35</v>
      </c>
    </row>
    <row r="76" spans="1:31" x14ac:dyDescent="0.25">
      <c r="A76" s="415" t="s">
        <v>169</v>
      </c>
      <c r="B76" s="415" t="s">
        <v>170</v>
      </c>
      <c r="C76" s="421" t="s">
        <v>171</v>
      </c>
      <c r="D76" s="423" t="s">
        <v>172</v>
      </c>
      <c r="E76" s="494" t="s">
        <v>2467</v>
      </c>
      <c r="F76" s="415" t="s">
        <v>983</v>
      </c>
      <c r="G76" s="414">
        <v>3.5060000000000001E-2</v>
      </c>
      <c r="H76" s="415">
        <v>-0.77500000000000002</v>
      </c>
      <c r="I76" s="413">
        <v>3.2999999999999998E-8</v>
      </c>
      <c r="J76" s="414">
        <v>0.84730000000000005</v>
      </c>
      <c r="K76" s="408">
        <v>3.1730000000000001E-4</v>
      </c>
      <c r="L76" s="415" t="s">
        <v>35</v>
      </c>
      <c r="M76" s="415" t="s">
        <v>35</v>
      </c>
      <c r="N76" s="415" t="s">
        <v>35</v>
      </c>
      <c r="O76" s="415" t="s">
        <v>35</v>
      </c>
      <c r="P76" s="415" t="s">
        <v>35</v>
      </c>
      <c r="Q76" s="425" t="s">
        <v>35</v>
      </c>
      <c r="R76" s="409" t="s">
        <v>2468</v>
      </c>
      <c r="S76" s="415" t="s">
        <v>2469</v>
      </c>
      <c r="T76" s="415" t="s">
        <v>975</v>
      </c>
      <c r="U76" s="414">
        <v>4.8710000000000003E-2</v>
      </c>
      <c r="V76" s="414">
        <v>-1.08</v>
      </c>
      <c r="W76" s="413">
        <v>2.8199999999999997E-20</v>
      </c>
      <c r="X76" s="406">
        <v>-1.65</v>
      </c>
      <c r="Y76" s="413">
        <v>4.8840000000000001E-16</v>
      </c>
      <c r="Z76" s="412">
        <v>0.70982500000000004</v>
      </c>
      <c r="AA76" s="402">
        <v>1</v>
      </c>
      <c r="AB76" s="415" t="s">
        <v>35</v>
      </c>
      <c r="AC76" s="415" t="s">
        <v>35</v>
      </c>
      <c r="AD76" s="415" t="s">
        <v>35</v>
      </c>
      <c r="AE76" s="425" t="s">
        <v>35</v>
      </c>
    </row>
    <row r="77" spans="1:31" x14ac:dyDescent="0.25">
      <c r="A77" s="495" t="s">
        <v>174</v>
      </c>
      <c r="B77" s="495" t="s">
        <v>175</v>
      </c>
      <c r="C77" s="429" t="s">
        <v>171</v>
      </c>
      <c r="D77" s="496" t="s">
        <v>176</v>
      </c>
      <c r="E77" s="497" t="s">
        <v>2459</v>
      </c>
      <c r="F77" s="495" t="s">
        <v>980</v>
      </c>
      <c r="G77" s="498">
        <v>3.5060000000000001E-2</v>
      </c>
      <c r="H77" s="495">
        <v>0.54200000000000004</v>
      </c>
      <c r="I77" s="499">
        <v>1.18E-4</v>
      </c>
      <c r="J77" s="498">
        <v>-6.0659999999999998</v>
      </c>
      <c r="K77" s="500">
        <v>0.49959999999999999</v>
      </c>
      <c r="L77" s="495" t="s">
        <v>35</v>
      </c>
      <c r="M77" s="495" t="s">
        <v>35</v>
      </c>
      <c r="N77" s="495" t="s">
        <v>35</v>
      </c>
      <c r="O77" s="495" t="s">
        <v>35</v>
      </c>
      <c r="P77" s="495" t="s">
        <v>35</v>
      </c>
      <c r="Q77" s="504" t="s">
        <v>35</v>
      </c>
      <c r="R77" s="501" t="s">
        <v>2460</v>
      </c>
      <c r="S77" s="495" t="s">
        <v>2461</v>
      </c>
      <c r="T77" s="495" t="s">
        <v>976</v>
      </c>
      <c r="U77" s="498">
        <v>3.499E-2</v>
      </c>
      <c r="V77" s="498">
        <v>0.54500000000000004</v>
      </c>
      <c r="W77" s="499">
        <v>1.12E-4</v>
      </c>
      <c r="X77" s="502">
        <v>7.117</v>
      </c>
      <c r="Y77" s="499">
        <v>0.43020000000000003</v>
      </c>
      <c r="Z77" s="420">
        <v>1</v>
      </c>
      <c r="AA77" s="503">
        <v>1</v>
      </c>
      <c r="AB77" s="495" t="s">
        <v>35</v>
      </c>
      <c r="AC77" s="495" t="s">
        <v>35</v>
      </c>
      <c r="AD77" s="495" t="s">
        <v>35</v>
      </c>
      <c r="AE77" s="504" t="s">
        <v>35</v>
      </c>
    </row>
    <row r="78" spans="1:31" x14ac:dyDescent="0.25">
      <c r="A78" s="495" t="s">
        <v>174</v>
      </c>
      <c r="B78" s="495" t="s">
        <v>175</v>
      </c>
      <c r="C78" s="429" t="s">
        <v>171</v>
      </c>
      <c r="D78" s="496" t="s">
        <v>176</v>
      </c>
      <c r="E78" s="497" t="s">
        <v>171</v>
      </c>
      <c r="F78" s="495" t="s">
        <v>980</v>
      </c>
      <c r="G78" s="498">
        <v>3.5060000000000001E-2</v>
      </c>
      <c r="H78" s="495">
        <v>0.96199999999999997</v>
      </c>
      <c r="I78" s="499">
        <v>4.6499999999999998E-12</v>
      </c>
      <c r="J78" s="498">
        <v>0.44950000000000001</v>
      </c>
      <c r="K78" s="500">
        <v>0.25109999999999999</v>
      </c>
      <c r="L78" s="495" t="s">
        <v>35</v>
      </c>
      <c r="M78" s="495" t="s">
        <v>35</v>
      </c>
      <c r="N78" s="495" t="s">
        <v>35</v>
      </c>
      <c r="O78" s="495" t="s">
        <v>35</v>
      </c>
      <c r="P78" s="495" t="s">
        <v>35</v>
      </c>
      <c r="Q78" s="504" t="s">
        <v>35</v>
      </c>
      <c r="R78" s="501" t="s">
        <v>2462</v>
      </c>
      <c r="S78" s="495" t="s">
        <v>2463</v>
      </c>
      <c r="T78" s="495" t="s">
        <v>2269</v>
      </c>
      <c r="U78" s="498">
        <v>3.4939999999999999E-2</v>
      </c>
      <c r="V78" s="498">
        <v>0.99299999999999999</v>
      </c>
      <c r="W78" s="499">
        <v>3.5E-12</v>
      </c>
      <c r="X78" s="502">
        <v>0.55859999999999999</v>
      </c>
      <c r="Y78" s="499">
        <v>0.16520000000000001</v>
      </c>
      <c r="Z78" s="420">
        <v>0.86883200000000005</v>
      </c>
      <c r="AA78" s="503">
        <v>0.94118000000000002</v>
      </c>
      <c r="AB78" s="495" t="s">
        <v>35</v>
      </c>
      <c r="AC78" s="495" t="s">
        <v>35</v>
      </c>
      <c r="AD78" s="495" t="s">
        <v>35</v>
      </c>
      <c r="AE78" s="504" t="s">
        <v>35</v>
      </c>
    </row>
    <row r="79" spans="1:31" x14ac:dyDescent="0.25">
      <c r="A79" s="495" t="s">
        <v>174</v>
      </c>
      <c r="B79" s="495" t="s">
        <v>175</v>
      </c>
      <c r="C79" s="429" t="s">
        <v>171</v>
      </c>
      <c r="D79" s="496" t="s">
        <v>176</v>
      </c>
      <c r="E79" s="497" t="s">
        <v>2464</v>
      </c>
      <c r="F79" s="495" t="s">
        <v>980</v>
      </c>
      <c r="G79" s="498">
        <v>3.5060000000000001E-2</v>
      </c>
      <c r="H79" s="495">
        <v>0.51900000000000002</v>
      </c>
      <c r="I79" s="499">
        <v>2.14E-4</v>
      </c>
      <c r="J79" s="498">
        <v>-4.1529999999999996</v>
      </c>
      <c r="K79" s="500">
        <v>0.12429999999999999</v>
      </c>
      <c r="L79" s="495" t="s">
        <v>35</v>
      </c>
      <c r="M79" s="495" t="s">
        <v>35</v>
      </c>
      <c r="N79" s="495" t="s">
        <v>35</v>
      </c>
      <c r="O79" s="495" t="s">
        <v>35</v>
      </c>
      <c r="P79" s="495" t="s">
        <v>35</v>
      </c>
      <c r="Q79" s="504" t="s">
        <v>35</v>
      </c>
      <c r="R79" s="501" t="s">
        <v>2465</v>
      </c>
      <c r="S79" s="495" t="s">
        <v>2466</v>
      </c>
      <c r="T79" s="495" t="s">
        <v>980</v>
      </c>
      <c r="U79" s="498">
        <v>3.483E-2</v>
      </c>
      <c r="V79" s="498">
        <v>0.53400000000000003</v>
      </c>
      <c r="W79" s="499">
        <v>1.5100000000000001E-4</v>
      </c>
      <c r="X79" s="502">
        <v>4.7839999999999998</v>
      </c>
      <c r="Y79" s="499">
        <v>7.8240000000000004E-2</v>
      </c>
      <c r="Z79" s="420">
        <v>1</v>
      </c>
      <c r="AA79" s="503">
        <v>1</v>
      </c>
      <c r="AB79" s="495" t="s">
        <v>35</v>
      </c>
      <c r="AC79" s="495" t="s">
        <v>35</v>
      </c>
      <c r="AD79" s="495" t="s">
        <v>35</v>
      </c>
      <c r="AE79" s="504" t="s">
        <v>35</v>
      </c>
    </row>
    <row r="80" spans="1:31" x14ac:dyDescent="0.25">
      <c r="A80" s="415" t="s">
        <v>174</v>
      </c>
      <c r="B80" s="415" t="s">
        <v>175</v>
      </c>
      <c r="C80" s="421" t="s">
        <v>171</v>
      </c>
      <c r="D80" s="423" t="s">
        <v>176</v>
      </c>
      <c r="E80" s="494" t="s">
        <v>2467</v>
      </c>
      <c r="F80" s="415" t="s">
        <v>980</v>
      </c>
      <c r="G80" s="414">
        <v>3.5060000000000001E-2</v>
      </c>
      <c r="H80" s="415">
        <v>-0.77500000000000002</v>
      </c>
      <c r="I80" s="413">
        <v>3.2999999999999998E-8</v>
      </c>
      <c r="J80" s="414">
        <v>0.84730000000000005</v>
      </c>
      <c r="K80" s="408">
        <v>3.1730000000000001E-4</v>
      </c>
      <c r="L80" s="415" t="s">
        <v>35</v>
      </c>
      <c r="M80" s="415" t="s">
        <v>35</v>
      </c>
      <c r="N80" s="415" t="s">
        <v>35</v>
      </c>
      <c r="O80" s="415" t="s">
        <v>35</v>
      </c>
      <c r="P80" s="415" t="s">
        <v>35</v>
      </c>
      <c r="Q80" s="425" t="s">
        <v>35</v>
      </c>
      <c r="R80" s="409" t="s">
        <v>2468</v>
      </c>
      <c r="S80" s="415" t="s">
        <v>2469</v>
      </c>
      <c r="T80" s="415" t="s">
        <v>975</v>
      </c>
      <c r="U80" s="414">
        <v>4.8710000000000003E-2</v>
      </c>
      <c r="V80" s="414">
        <v>-1.08</v>
      </c>
      <c r="W80" s="413">
        <v>2.8199999999999997E-20</v>
      </c>
      <c r="X80" s="406">
        <v>-1.65</v>
      </c>
      <c r="Y80" s="413">
        <v>4.8840000000000001E-16</v>
      </c>
      <c r="Z80" s="412">
        <v>0.70982500000000004</v>
      </c>
      <c r="AA80" s="402">
        <v>1</v>
      </c>
      <c r="AB80" s="415" t="s">
        <v>35</v>
      </c>
      <c r="AC80" s="415" t="s">
        <v>35</v>
      </c>
      <c r="AD80" s="415" t="s">
        <v>35</v>
      </c>
      <c r="AE80" s="425" t="s">
        <v>35</v>
      </c>
    </row>
    <row r="81" spans="1:31" x14ac:dyDescent="0.25">
      <c r="A81" s="415" t="s">
        <v>177</v>
      </c>
      <c r="B81" s="415" t="s">
        <v>178</v>
      </c>
      <c r="C81" s="421" t="s">
        <v>957</v>
      </c>
      <c r="D81" s="423" t="s">
        <v>179</v>
      </c>
      <c r="E81" s="494" t="s">
        <v>2470</v>
      </c>
      <c r="F81" s="415" t="s">
        <v>980</v>
      </c>
      <c r="G81" s="414">
        <v>0.26032</v>
      </c>
      <c r="H81" s="415">
        <v>-0.22600000000000001</v>
      </c>
      <c r="I81" s="413">
        <v>1.01E-4</v>
      </c>
      <c r="J81" s="414">
        <v>-0.15409999999999999</v>
      </c>
      <c r="K81" s="408">
        <v>5.5259999999999997E-3</v>
      </c>
      <c r="L81" s="415" t="s">
        <v>35</v>
      </c>
      <c r="M81" s="415" t="s">
        <v>35</v>
      </c>
      <c r="N81" s="415" t="s">
        <v>35</v>
      </c>
      <c r="O81" s="415" t="s">
        <v>35</v>
      </c>
      <c r="P81" s="415" t="s">
        <v>35</v>
      </c>
      <c r="Q81" s="425" t="s">
        <v>35</v>
      </c>
      <c r="R81" s="409" t="s">
        <v>2471</v>
      </c>
      <c r="S81" s="415" t="s">
        <v>2472</v>
      </c>
      <c r="T81" s="415" t="s">
        <v>980</v>
      </c>
      <c r="U81" s="414">
        <v>0.26175999999999999</v>
      </c>
      <c r="V81" s="414">
        <v>0.54800000000000004</v>
      </c>
      <c r="W81" s="413">
        <v>4.22E-21</v>
      </c>
      <c r="X81" s="406">
        <v>0.53180000000000005</v>
      </c>
      <c r="Y81" s="413">
        <v>6.1980000000000002E-20</v>
      </c>
      <c r="Z81" s="412">
        <v>2.0511000000000001E-2</v>
      </c>
      <c r="AA81" s="402">
        <v>0.40474599999999999</v>
      </c>
      <c r="AB81" s="415" t="s">
        <v>35</v>
      </c>
      <c r="AC81" s="415" t="s">
        <v>35</v>
      </c>
      <c r="AD81" s="415" t="s">
        <v>35</v>
      </c>
      <c r="AE81" s="425" t="s">
        <v>35</v>
      </c>
    </row>
    <row r="82" spans="1:31" x14ac:dyDescent="0.25">
      <c r="A82" s="415" t="s">
        <v>181</v>
      </c>
      <c r="B82" s="415" t="s">
        <v>182</v>
      </c>
      <c r="C82" s="421" t="s">
        <v>958</v>
      </c>
      <c r="D82" s="423" t="s">
        <v>183</v>
      </c>
      <c r="E82" s="494" t="s">
        <v>2470</v>
      </c>
      <c r="F82" s="415" t="s">
        <v>975</v>
      </c>
      <c r="G82" s="414">
        <v>0.26884000000000002</v>
      </c>
      <c r="H82" s="415">
        <v>-0.245</v>
      </c>
      <c r="I82" s="413">
        <v>2.6299999999999999E-5</v>
      </c>
      <c r="J82" s="414">
        <v>-0.1757</v>
      </c>
      <c r="K82" s="408">
        <v>1.555E-3</v>
      </c>
      <c r="L82" s="415" t="s">
        <v>35</v>
      </c>
      <c r="M82" s="415" t="s">
        <v>35</v>
      </c>
      <c r="N82" s="415" t="s">
        <v>35</v>
      </c>
      <c r="O82" s="415" t="s">
        <v>35</v>
      </c>
      <c r="P82" s="415" t="s">
        <v>35</v>
      </c>
      <c r="Q82" s="425" t="s">
        <v>35</v>
      </c>
      <c r="R82" s="409" t="s">
        <v>2471</v>
      </c>
      <c r="S82" s="415" t="s">
        <v>2472</v>
      </c>
      <c r="T82" s="415" t="s">
        <v>980</v>
      </c>
      <c r="U82" s="414">
        <v>0.26175999999999999</v>
      </c>
      <c r="V82" s="414">
        <v>0.54800000000000004</v>
      </c>
      <c r="W82" s="413">
        <v>4.22E-21</v>
      </c>
      <c r="X82" s="406">
        <v>0.53459999999999996</v>
      </c>
      <c r="Y82" s="413">
        <v>3.1699999999999999E-20</v>
      </c>
      <c r="Z82" s="412">
        <v>1.8552099999999998E-2</v>
      </c>
      <c r="AA82" s="402">
        <v>0.37667200000000001</v>
      </c>
      <c r="AB82" s="415" t="s">
        <v>35</v>
      </c>
      <c r="AC82" s="415" t="s">
        <v>35</v>
      </c>
      <c r="AD82" s="415" t="s">
        <v>35</v>
      </c>
      <c r="AE82" s="425" t="s">
        <v>35</v>
      </c>
    </row>
    <row r="83" spans="1:31" x14ac:dyDescent="0.25">
      <c r="A83" s="415" t="s">
        <v>188</v>
      </c>
      <c r="B83" s="415" t="s">
        <v>189</v>
      </c>
      <c r="C83" s="421" t="s">
        <v>190</v>
      </c>
      <c r="D83" s="423" t="s">
        <v>191</v>
      </c>
      <c r="E83" s="494" t="s">
        <v>2473</v>
      </c>
      <c r="F83" s="415" t="s">
        <v>980</v>
      </c>
      <c r="G83" s="414">
        <v>0.42531999999999998</v>
      </c>
      <c r="H83" s="415">
        <v>-0.19600000000000001</v>
      </c>
      <c r="I83" s="413">
        <v>1.5799999999999999E-4</v>
      </c>
      <c r="J83" s="414">
        <v>-7.4279999999999999E-2</v>
      </c>
      <c r="K83" s="408">
        <v>0.12509999999999999</v>
      </c>
      <c r="L83" s="415" t="s">
        <v>35</v>
      </c>
      <c r="M83" s="415" t="s">
        <v>35</v>
      </c>
      <c r="N83" s="415" t="s">
        <v>35</v>
      </c>
      <c r="O83" s="415" t="s">
        <v>35</v>
      </c>
      <c r="P83" s="415" t="s">
        <v>35</v>
      </c>
      <c r="Q83" s="425" t="s">
        <v>35</v>
      </c>
      <c r="R83" s="409" t="s">
        <v>2474</v>
      </c>
      <c r="S83" s="415" t="s">
        <v>2475</v>
      </c>
      <c r="T83" s="415" t="s">
        <v>979</v>
      </c>
      <c r="U83" s="414">
        <v>0.32973999999999998</v>
      </c>
      <c r="V83" s="414">
        <v>0.65300000000000002</v>
      </c>
      <c r="W83" s="413">
        <v>2.2000000000000001E-33</v>
      </c>
      <c r="X83" s="406">
        <v>0.63719999999999999</v>
      </c>
      <c r="Y83" s="413">
        <v>8.6609999999999993E-31</v>
      </c>
      <c r="Z83" s="412">
        <v>4.5100500000000002E-2</v>
      </c>
      <c r="AA83" s="402">
        <v>0.35184300000000002</v>
      </c>
      <c r="AB83" s="415" t="s">
        <v>35</v>
      </c>
      <c r="AC83" s="415" t="s">
        <v>35</v>
      </c>
      <c r="AD83" s="415" t="s">
        <v>35</v>
      </c>
      <c r="AE83" s="425" t="s">
        <v>35</v>
      </c>
    </row>
    <row r="84" spans="1:31" x14ac:dyDescent="0.25">
      <c r="A84" s="415" t="s">
        <v>192</v>
      </c>
      <c r="B84" s="415" t="s">
        <v>193</v>
      </c>
      <c r="C84" s="421" t="s">
        <v>265</v>
      </c>
      <c r="D84" s="423" t="s">
        <v>194</v>
      </c>
      <c r="E84" s="494" t="s">
        <v>2476</v>
      </c>
      <c r="F84" s="415" t="s">
        <v>974</v>
      </c>
      <c r="G84" s="414">
        <v>0.42662</v>
      </c>
      <c r="H84" s="415">
        <v>0.224</v>
      </c>
      <c r="I84" s="413">
        <v>1.2099999999999999E-5</v>
      </c>
      <c r="J84" s="414">
        <v>4.2029999999999998E-2</v>
      </c>
      <c r="K84" s="408">
        <v>0.44479999999999997</v>
      </c>
      <c r="L84" s="409" t="s">
        <v>2477</v>
      </c>
      <c r="M84" s="415" t="s">
        <v>195</v>
      </c>
      <c r="N84" s="415">
        <v>-0.20300000000000001</v>
      </c>
      <c r="O84" s="413">
        <v>6.3E-5</v>
      </c>
      <c r="P84" s="415">
        <v>-4.0219999999999999E-2</v>
      </c>
      <c r="Q84" s="413">
        <v>0.45019999999999999</v>
      </c>
      <c r="R84" s="409" t="s">
        <v>2478</v>
      </c>
      <c r="S84" s="415" t="s">
        <v>2479</v>
      </c>
      <c r="T84" s="415" t="s">
        <v>980</v>
      </c>
      <c r="U84" s="414">
        <v>0.23774999999999999</v>
      </c>
      <c r="V84" s="414">
        <v>-0.501</v>
      </c>
      <c r="W84" s="413">
        <v>3.9200000000000001E-17</v>
      </c>
      <c r="X84" s="406">
        <v>-0.47810000000000002</v>
      </c>
      <c r="Y84" s="413">
        <v>5.0229999999999999E-13</v>
      </c>
      <c r="Z84" s="412">
        <v>0.205897</v>
      </c>
      <c r="AA84" s="402">
        <v>0.70100399999999996</v>
      </c>
      <c r="AB84" s="414">
        <v>-0.4803</v>
      </c>
      <c r="AC84" s="413">
        <v>1.1259999999999999E-13</v>
      </c>
      <c r="AD84" s="412">
        <v>0.15958</v>
      </c>
      <c r="AE84" s="402">
        <v>0.594495</v>
      </c>
    </row>
    <row r="85" spans="1:31" x14ac:dyDescent="0.25">
      <c r="A85" s="415" t="s">
        <v>192</v>
      </c>
      <c r="B85" s="415" t="s">
        <v>193</v>
      </c>
      <c r="C85" s="421" t="s">
        <v>265</v>
      </c>
      <c r="D85" s="423" t="s">
        <v>194</v>
      </c>
      <c r="E85" s="494" t="s">
        <v>2480</v>
      </c>
      <c r="F85" s="415" t="s">
        <v>974</v>
      </c>
      <c r="G85" s="414">
        <v>0.42662</v>
      </c>
      <c r="H85" s="415">
        <v>0.245</v>
      </c>
      <c r="I85" s="413">
        <v>1.77E-6</v>
      </c>
      <c r="J85" s="414">
        <v>8.2739999999999994E-2</v>
      </c>
      <c r="K85" s="408">
        <v>0.10920000000000001</v>
      </c>
      <c r="L85" s="409" t="s">
        <v>2477</v>
      </c>
      <c r="M85" s="415" t="s">
        <v>195</v>
      </c>
      <c r="N85" s="415">
        <v>-0.219</v>
      </c>
      <c r="O85" s="413">
        <v>1.66E-5</v>
      </c>
      <c r="P85" s="415">
        <v>-4.7750000000000001E-2</v>
      </c>
      <c r="Q85" s="413">
        <v>0.35510000000000003</v>
      </c>
      <c r="R85" s="409" t="s">
        <v>2481</v>
      </c>
      <c r="S85" s="415" t="s">
        <v>2482</v>
      </c>
      <c r="T85" s="415" t="s">
        <v>975</v>
      </c>
      <c r="U85" s="414">
        <v>0.26588000000000001</v>
      </c>
      <c r="V85" s="414">
        <v>-0.53600000000000003</v>
      </c>
      <c r="W85" s="413">
        <v>5.0899999999999996E-22</v>
      </c>
      <c r="X85" s="406">
        <v>-0.50470000000000004</v>
      </c>
      <c r="Y85" s="413">
        <v>8.2170000000000003E-18</v>
      </c>
      <c r="Z85" s="412">
        <v>0.10233200000000001</v>
      </c>
      <c r="AA85" s="402">
        <v>0.45885799999999999</v>
      </c>
      <c r="AB85" s="414">
        <v>-0.51390000000000002</v>
      </c>
      <c r="AC85" s="413">
        <v>4.0640000000000001E-18</v>
      </c>
      <c r="AD85" s="412">
        <v>0.115354</v>
      </c>
      <c r="AE85" s="402">
        <v>0.46930100000000002</v>
      </c>
    </row>
    <row r="86" spans="1:31" x14ac:dyDescent="0.25">
      <c r="A86" s="415" t="s">
        <v>192</v>
      </c>
      <c r="B86" s="415" t="s">
        <v>193</v>
      </c>
      <c r="C86" s="421" t="s">
        <v>265</v>
      </c>
      <c r="D86" s="423" t="s">
        <v>194</v>
      </c>
      <c r="E86" s="494" t="s">
        <v>2483</v>
      </c>
      <c r="F86" s="415" t="s">
        <v>974</v>
      </c>
      <c r="G86" s="414">
        <v>0.42662</v>
      </c>
      <c r="H86" s="415">
        <v>-0.23499999999999999</v>
      </c>
      <c r="I86" s="413">
        <v>4.4499999999999997E-6</v>
      </c>
      <c r="J86" s="414">
        <v>-2.163E-2</v>
      </c>
      <c r="K86" s="408">
        <v>0.65290000000000004</v>
      </c>
      <c r="L86" s="409" t="s">
        <v>2477</v>
      </c>
      <c r="M86" s="415" t="s">
        <v>195</v>
      </c>
      <c r="N86" s="415">
        <v>0.247</v>
      </c>
      <c r="O86" s="413">
        <v>1.1599999999999999E-6</v>
      </c>
      <c r="P86" s="415">
        <v>2.7019999999999999E-2</v>
      </c>
      <c r="Q86" s="413">
        <v>0.57330000000000003</v>
      </c>
      <c r="R86" s="409" t="s">
        <v>2484</v>
      </c>
      <c r="S86" s="415" t="s">
        <v>2485</v>
      </c>
      <c r="T86" s="415" t="s">
        <v>980</v>
      </c>
      <c r="U86" s="414">
        <v>0.23100000000000001</v>
      </c>
      <c r="V86" s="414">
        <v>0.79700000000000004</v>
      </c>
      <c r="W86" s="413">
        <v>1.8299999999999999E-43</v>
      </c>
      <c r="X86" s="406">
        <v>0.78639999999999999</v>
      </c>
      <c r="Y86" s="413">
        <v>1.414E-38</v>
      </c>
      <c r="Z86" s="412">
        <v>0.109044</v>
      </c>
      <c r="AA86" s="402">
        <v>0.51946300000000001</v>
      </c>
      <c r="AB86" s="414">
        <v>0.78620000000000001</v>
      </c>
      <c r="AC86" s="413">
        <v>5.2440000000000003E-38</v>
      </c>
      <c r="AD86" s="412">
        <v>0.113651</v>
      </c>
      <c r="AE86" s="402">
        <v>0.51086299999999996</v>
      </c>
    </row>
    <row r="87" spans="1:31" x14ac:dyDescent="0.25">
      <c r="A87" s="415" t="s">
        <v>192</v>
      </c>
      <c r="B87" s="415" t="s">
        <v>193</v>
      </c>
      <c r="C87" s="421" t="s">
        <v>265</v>
      </c>
      <c r="D87" s="423" t="s">
        <v>194</v>
      </c>
      <c r="E87" s="494" t="s">
        <v>2486</v>
      </c>
      <c r="F87" s="415" t="s">
        <v>974</v>
      </c>
      <c r="G87" s="414">
        <v>0.42662</v>
      </c>
      <c r="H87" s="415">
        <v>0.21299999999999999</v>
      </c>
      <c r="I87" s="413">
        <v>3.1300000000000002E-5</v>
      </c>
      <c r="J87" s="414">
        <v>0.18540000000000001</v>
      </c>
      <c r="K87" s="408">
        <v>2.7099999999999999E-6</v>
      </c>
      <c r="L87" s="409" t="s">
        <v>2477</v>
      </c>
      <c r="M87" s="415" t="s">
        <v>195</v>
      </c>
      <c r="N87" s="415">
        <v>-0.21</v>
      </c>
      <c r="O87" s="413">
        <v>3.6600000000000002E-5</v>
      </c>
      <c r="P87" s="415">
        <v>-0.16020000000000001</v>
      </c>
      <c r="Q87" s="413">
        <v>4.7320000000000001E-5</v>
      </c>
      <c r="R87" s="409" t="s">
        <v>2487</v>
      </c>
      <c r="S87" s="415" t="s">
        <v>2488</v>
      </c>
      <c r="T87" s="415" t="s">
        <v>972</v>
      </c>
      <c r="U87" s="414">
        <v>0.15328</v>
      </c>
      <c r="V87" s="414">
        <v>-1.23</v>
      </c>
      <c r="W87" s="413">
        <v>4.5900000000000003E-87</v>
      </c>
      <c r="X87" s="406">
        <v>-1.2190000000000001</v>
      </c>
      <c r="Y87" s="413">
        <v>9.9590000000000002E-88</v>
      </c>
      <c r="Z87" s="412">
        <v>1.1428E-3</v>
      </c>
      <c r="AA87" s="402">
        <v>6.8543999999999994E-2</v>
      </c>
      <c r="AB87" s="414">
        <v>-1.2210000000000001</v>
      </c>
      <c r="AC87" s="413">
        <v>8.9729999999999995E-87</v>
      </c>
      <c r="AD87" s="412">
        <v>3.2752300000000001E-3</v>
      </c>
      <c r="AE87" s="402">
        <v>0.11178200000000001</v>
      </c>
    </row>
    <row r="88" spans="1:31" x14ac:dyDescent="0.25">
      <c r="A88" s="415" t="s">
        <v>192</v>
      </c>
      <c r="B88" s="415" t="s">
        <v>193</v>
      </c>
      <c r="C88" s="421" t="s">
        <v>265</v>
      </c>
      <c r="D88" s="423" t="s">
        <v>194</v>
      </c>
      <c r="E88" s="494" t="s">
        <v>2489</v>
      </c>
      <c r="F88" s="415" t="s">
        <v>974</v>
      </c>
      <c r="G88" s="414">
        <v>0.42662</v>
      </c>
      <c r="H88" s="415">
        <v>0.19600000000000001</v>
      </c>
      <c r="I88" s="413">
        <v>1.26E-4</v>
      </c>
      <c r="J88" s="414">
        <v>-4.8349999999999999E-3</v>
      </c>
      <c r="K88" s="408">
        <v>0.90159999999999996</v>
      </c>
      <c r="L88" s="409" t="s">
        <v>2477</v>
      </c>
      <c r="M88" s="415" t="s">
        <v>195</v>
      </c>
      <c r="N88" s="415">
        <v>-0.19600000000000001</v>
      </c>
      <c r="O88" s="413">
        <v>1.11E-4</v>
      </c>
      <c r="P88" s="415">
        <v>5.6309999999999997E-3</v>
      </c>
      <c r="Q88" s="413">
        <v>0.88470000000000004</v>
      </c>
      <c r="R88" s="409" t="s">
        <v>2490</v>
      </c>
      <c r="S88" s="415" t="s">
        <v>2491</v>
      </c>
      <c r="T88" s="415" t="s">
        <v>980</v>
      </c>
      <c r="U88" s="414">
        <v>8.7099999999999997E-2</v>
      </c>
      <c r="V88" s="414">
        <v>-1.69</v>
      </c>
      <c r="W88" s="413">
        <v>1.0399999999999999E-101</v>
      </c>
      <c r="X88" s="406">
        <v>-1.696</v>
      </c>
      <c r="Y88" s="413">
        <v>1.8530000000000002E-98</v>
      </c>
      <c r="Z88" s="412">
        <v>4.4569999999999999E-2</v>
      </c>
      <c r="AA88" s="402">
        <v>0.58987999999999996</v>
      </c>
      <c r="AB88" s="414">
        <v>-1.6990000000000001</v>
      </c>
      <c r="AC88" s="413">
        <v>2.6619999999999999E-98</v>
      </c>
      <c r="AD88" s="412">
        <v>4.3687400000000001E-2</v>
      </c>
      <c r="AE88" s="402">
        <v>0.56257999999999997</v>
      </c>
    </row>
    <row r="89" spans="1:31" x14ac:dyDescent="0.25">
      <c r="A89" s="495" t="s">
        <v>192</v>
      </c>
      <c r="B89" s="495" t="s">
        <v>193</v>
      </c>
      <c r="C89" s="429" t="s">
        <v>265</v>
      </c>
      <c r="D89" s="496" t="s">
        <v>194</v>
      </c>
      <c r="E89" s="497" t="s">
        <v>265</v>
      </c>
      <c r="F89" s="495" t="s">
        <v>974</v>
      </c>
      <c r="G89" s="498">
        <v>0.42662</v>
      </c>
      <c r="H89" s="495">
        <v>0.313</v>
      </c>
      <c r="I89" s="499">
        <v>7.5199999999999999E-10</v>
      </c>
      <c r="J89" s="498">
        <v>5.3109999999999997E-2</v>
      </c>
      <c r="K89" s="500">
        <v>0.70920000000000005</v>
      </c>
      <c r="L89" s="501" t="s">
        <v>2477</v>
      </c>
      <c r="M89" s="495" t="s">
        <v>195</v>
      </c>
      <c r="N89" s="495">
        <v>-0.28100000000000003</v>
      </c>
      <c r="O89" s="499">
        <v>2.6300000000000001E-8</v>
      </c>
      <c r="P89" s="495">
        <v>5.4339999999999999E-2</v>
      </c>
      <c r="Q89" s="499">
        <v>0.63160000000000005</v>
      </c>
      <c r="R89" s="501" t="s">
        <v>2492</v>
      </c>
      <c r="S89" s="495" t="s">
        <v>2493</v>
      </c>
      <c r="T89" s="495" t="s">
        <v>974</v>
      </c>
      <c r="U89" s="498">
        <v>0.45907999999999999</v>
      </c>
      <c r="V89" s="498">
        <v>-0.32400000000000001</v>
      </c>
      <c r="W89" s="499">
        <v>1.28E-10</v>
      </c>
      <c r="X89" s="502">
        <v>-0.28110000000000002</v>
      </c>
      <c r="Y89" s="499">
        <v>4.6870000000000002E-2</v>
      </c>
      <c r="Z89" s="420">
        <v>0.87665800000000005</v>
      </c>
      <c r="AA89" s="503">
        <v>1</v>
      </c>
      <c r="AB89" s="498">
        <v>-0.37690000000000001</v>
      </c>
      <c r="AC89" s="499">
        <v>9.477E-4</v>
      </c>
      <c r="AD89" s="420">
        <v>0.80345500000000003</v>
      </c>
      <c r="AE89" s="503">
        <v>0.99380599999999997</v>
      </c>
    </row>
    <row r="90" spans="1:31" x14ac:dyDescent="0.25">
      <c r="A90" s="415" t="s">
        <v>196</v>
      </c>
      <c r="B90" s="415" t="s">
        <v>197</v>
      </c>
      <c r="C90" s="421" t="s">
        <v>959</v>
      </c>
      <c r="D90" s="423" t="s">
        <v>198</v>
      </c>
      <c r="E90" s="494" t="s">
        <v>2476</v>
      </c>
      <c r="F90" s="415" t="s">
        <v>976</v>
      </c>
      <c r="G90" s="414">
        <v>0.39479999999999998</v>
      </c>
      <c r="H90" s="415">
        <v>-0.21299999999999999</v>
      </c>
      <c r="I90" s="413">
        <v>3.0599999999999998E-5</v>
      </c>
      <c r="J90" s="414">
        <v>-3.814E-2</v>
      </c>
      <c r="K90" s="408">
        <v>0.48359999999999997</v>
      </c>
      <c r="L90" s="409" t="s">
        <v>2477</v>
      </c>
      <c r="M90" s="415" t="s">
        <v>195</v>
      </c>
      <c r="N90" s="415">
        <v>-0.20300000000000001</v>
      </c>
      <c r="O90" s="413">
        <v>6.3E-5</v>
      </c>
      <c r="P90" s="415">
        <v>-4.0219999999999999E-2</v>
      </c>
      <c r="Q90" s="413">
        <v>0.45019999999999999</v>
      </c>
      <c r="R90" s="409" t="s">
        <v>2478</v>
      </c>
      <c r="S90" s="415" t="s">
        <v>2479</v>
      </c>
      <c r="T90" s="415" t="s">
        <v>980</v>
      </c>
      <c r="U90" s="414">
        <v>0.23774999999999999</v>
      </c>
      <c r="V90" s="414">
        <v>-0.501</v>
      </c>
      <c r="W90" s="413">
        <v>3.9200000000000001E-17</v>
      </c>
      <c r="X90" s="406">
        <v>-0.48120000000000002</v>
      </c>
      <c r="Y90" s="413">
        <v>1.8520000000000001E-13</v>
      </c>
      <c r="Z90" s="412">
        <v>0.17548900000000001</v>
      </c>
      <c r="AA90" s="402">
        <v>0.60598600000000002</v>
      </c>
      <c r="AB90" s="414">
        <v>-0.4803</v>
      </c>
      <c r="AC90" s="413">
        <v>1.1259999999999999E-13</v>
      </c>
      <c r="AD90" s="412">
        <v>0.15958</v>
      </c>
      <c r="AE90" s="402">
        <v>0.594495</v>
      </c>
    </row>
    <row r="91" spans="1:31" x14ac:dyDescent="0.25">
      <c r="A91" s="415" t="s">
        <v>196</v>
      </c>
      <c r="B91" s="415" t="s">
        <v>197</v>
      </c>
      <c r="C91" s="421" t="s">
        <v>959</v>
      </c>
      <c r="D91" s="423" t="s">
        <v>198</v>
      </c>
      <c r="E91" s="494" t="s">
        <v>2480</v>
      </c>
      <c r="F91" s="415" t="s">
        <v>976</v>
      </c>
      <c r="G91" s="414">
        <v>0.39479999999999998</v>
      </c>
      <c r="H91" s="415">
        <v>-0.218</v>
      </c>
      <c r="I91" s="413">
        <v>2.1100000000000001E-5</v>
      </c>
      <c r="J91" s="414">
        <v>-3.1440000000000003E-2</v>
      </c>
      <c r="K91" s="408">
        <v>0.55059999999999998</v>
      </c>
      <c r="L91" s="409" t="s">
        <v>2477</v>
      </c>
      <c r="M91" s="415" t="s">
        <v>195</v>
      </c>
      <c r="N91" s="415">
        <v>-0.219</v>
      </c>
      <c r="O91" s="413">
        <v>1.66E-5</v>
      </c>
      <c r="P91" s="415">
        <v>-4.7750000000000001E-2</v>
      </c>
      <c r="Q91" s="413">
        <v>0.35510000000000003</v>
      </c>
      <c r="R91" s="409" t="s">
        <v>2481</v>
      </c>
      <c r="S91" s="415" t="s">
        <v>2482</v>
      </c>
      <c r="T91" s="415" t="s">
        <v>975</v>
      </c>
      <c r="U91" s="414">
        <v>0.26588000000000001</v>
      </c>
      <c r="V91" s="414">
        <v>-0.53600000000000003</v>
      </c>
      <c r="W91" s="413">
        <v>5.0899999999999996E-22</v>
      </c>
      <c r="X91" s="406">
        <v>-0.52039999999999997</v>
      </c>
      <c r="Y91" s="413">
        <v>3.5670000000000004E-18</v>
      </c>
      <c r="Z91" s="412">
        <v>0.132469</v>
      </c>
      <c r="AA91" s="402">
        <v>0.48884499999999997</v>
      </c>
      <c r="AB91" s="414">
        <v>-0.51390000000000002</v>
      </c>
      <c r="AC91" s="413">
        <v>4.0640000000000001E-18</v>
      </c>
      <c r="AD91" s="412">
        <v>0.115354</v>
      </c>
      <c r="AE91" s="402">
        <v>0.46930100000000002</v>
      </c>
    </row>
    <row r="92" spans="1:31" x14ac:dyDescent="0.25">
      <c r="A92" s="415" t="s">
        <v>196</v>
      </c>
      <c r="B92" s="415" t="s">
        <v>197</v>
      </c>
      <c r="C92" s="421" t="s">
        <v>959</v>
      </c>
      <c r="D92" s="423" t="s">
        <v>198</v>
      </c>
      <c r="E92" s="494" t="s">
        <v>2483</v>
      </c>
      <c r="F92" s="415" t="s">
        <v>976</v>
      </c>
      <c r="G92" s="414">
        <v>0.39479999999999998</v>
      </c>
      <c r="H92" s="415">
        <v>0.193</v>
      </c>
      <c r="I92" s="413">
        <v>1.7699999999999999E-4</v>
      </c>
      <c r="J92" s="414">
        <v>9.2339999999999992E-3</v>
      </c>
      <c r="K92" s="408">
        <v>0.84570000000000001</v>
      </c>
      <c r="L92" s="409" t="s">
        <v>2477</v>
      </c>
      <c r="M92" s="415" t="s">
        <v>195</v>
      </c>
      <c r="N92" s="415">
        <v>0.247</v>
      </c>
      <c r="O92" s="413">
        <v>1.1599999999999999E-6</v>
      </c>
      <c r="P92" s="415">
        <v>2.7019999999999999E-2</v>
      </c>
      <c r="Q92" s="413">
        <v>0.57330000000000003</v>
      </c>
      <c r="R92" s="409" t="s">
        <v>2484</v>
      </c>
      <c r="S92" s="415" t="s">
        <v>2485</v>
      </c>
      <c r="T92" s="415" t="s">
        <v>980</v>
      </c>
      <c r="U92" s="414">
        <v>0.23100000000000001</v>
      </c>
      <c r="V92" s="414">
        <v>0.79700000000000004</v>
      </c>
      <c r="W92" s="413">
        <v>1.8299999999999999E-43</v>
      </c>
      <c r="X92" s="406">
        <v>0.79469999999999996</v>
      </c>
      <c r="Y92" s="413">
        <v>1.799E-40</v>
      </c>
      <c r="Z92" s="412">
        <v>7.6910199999999998E-2</v>
      </c>
      <c r="AA92" s="402">
        <v>0.408495</v>
      </c>
      <c r="AB92" s="414">
        <v>0.78620000000000001</v>
      </c>
      <c r="AC92" s="413">
        <v>5.2440000000000003E-38</v>
      </c>
      <c r="AD92" s="412">
        <v>0.113651</v>
      </c>
      <c r="AE92" s="402">
        <v>0.51086299999999996</v>
      </c>
    </row>
    <row r="93" spans="1:31" x14ac:dyDescent="0.25">
      <c r="A93" s="415" t="s">
        <v>196</v>
      </c>
      <c r="B93" s="415" t="s">
        <v>197</v>
      </c>
      <c r="C93" s="421" t="s">
        <v>959</v>
      </c>
      <c r="D93" s="423" t="s">
        <v>198</v>
      </c>
      <c r="E93" s="494" t="s">
        <v>2489</v>
      </c>
      <c r="F93" s="415" t="s">
        <v>976</v>
      </c>
      <c r="G93" s="414">
        <v>0.39479999999999998</v>
      </c>
      <c r="H93" s="415">
        <v>-0.19900000000000001</v>
      </c>
      <c r="I93" s="413">
        <v>9.8400000000000007E-5</v>
      </c>
      <c r="J93" s="414">
        <v>1.7260000000000001E-2</v>
      </c>
      <c r="K93" s="408">
        <v>0.66059999999999997</v>
      </c>
      <c r="L93" s="409" t="s">
        <v>2477</v>
      </c>
      <c r="M93" s="415" t="s">
        <v>195</v>
      </c>
      <c r="N93" s="415">
        <v>-0.19600000000000001</v>
      </c>
      <c r="O93" s="413">
        <v>1.11E-4</v>
      </c>
      <c r="P93" s="415">
        <v>5.6309999999999997E-3</v>
      </c>
      <c r="Q93" s="413">
        <v>0.88470000000000004</v>
      </c>
      <c r="R93" s="409" t="s">
        <v>2490</v>
      </c>
      <c r="S93" s="415" t="s">
        <v>2491</v>
      </c>
      <c r="T93" s="415" t="s">
        <v>980</v>
      </c>
      <c r="U93" s="414">
        <v>8.7099999999999997E-2</v>
      </c>
      <c r="V93" s="414">
        <v>-1.69</v>
      </c>
      <c r="W93" s="413">
        <v>1.0399999999999999E-101</v>
      </c>
      <c r="X93" s="406">
        <v>-1.7030000000000001</v>
      </c>
      <c r="Y93" s="413">
        <v>2.2110000000000001E-98</v>
      </c>
      <c r="Z93" s="412">
        <v>4.9377999999999998E-2</v>
      </c>
      <c r="AA93" s="402">
        <v>0.58136699999999997</v>
      </c>
      <c r="AB93" s="414">
        <v>-1.6990000000000001</v>
      </c>
      <c r="AC93" s="413">
        <v>2.6619999999999999E-98</v>
      </c>
      <c r="AD93" s="412">
        <v>4.3687400000000001E-2</v>
      </c>
      <c r="AE93" s="402">
        <v>0.56257999999999997</v>
      </c>
    </row>
    <row r="94" spans="1:31" x14ac:dyDescent="0.25">
      <c r="A94" s="415" t="s">
        <v>196</v>
      </c>
      <c r="B94" s="415" t="s">
        <v>197</v>
      </c>
      <c r="C94" s="421" t="s">
        <v>959</v>
      </c>
      <c r="D94" s="423" t="s">
        <v>198</v>
      </c>
      <c r="E94" s="494" t="s">
        <v>265</v>
      </c>
      <c r="F94" s="415" t="s">
        <v>976</v>
      </c>
      <c r="G94" s="414">
        <v>0.39479999999999998</v>
      </c>
      <c r="H94" s="415">
        <v>-0.29499999999999998</v>
      </c>
      <c r="I94" s="413">
        <v>6.48E-9</v>
      </c>
      <c r="J94" s="414">
        <v>-4.19E-2</v>
      </c>
      <c r="K94" s="408">
        <v>0.68140000000000001</v>
      </c>
      <c r="L94" s="409" t="s">
        <v>2477</v>
      </c>
      <c r="M94" s="415" t="s">
        <v>195</v>
      </c>
      <c r="N94" s="415">
        <v>-0.28100000000000003</v>
      </c>
      <c r="O94" s="413">
        <v>2.6300000000000001E-8</v>
      </c>
      <c r="P94" s="415">
        <v>5.4339999999999999E-2</v>
      </c>
      <c r="Q94" s="413">
        <v>0.63160000000000005</v>
      </c>
      <c r="R94" s="409" t="s">
        <v>2492</v>
      </c>
      <c r="S94" s="415" t="s">
        <v>2493</v>
      </c>
      <c r="T94" s="415" t="s">
        <v>974</v>
      </c>
      <c r="U94" s="414">
        <v>0.45907999999999999</v>
      </c>
      <c r="V94" s="414">
        <v>-0.32400000000000001</v>
      </c>
      <c r="W94" s="413">
        <v>1.28E-10</v>
      </c>
      <c r="X94" s="406">
        <v>-0.28710000000000002</v>
      </c>
      <c r="Y94" s="413">
        <v>4.7959999999999999E-3</v>
      </c>
      <c r="Z94" s="412">
        <v>0.75369600000000003</v>
      </c>
      <c r="AA94" s="402">
        <v>0.99024199999999996</v>
      </c>
      <c r="AB94" s="414">
        <v>-0.37690000000000001</v>
      </c>
      <c r="AC94" s="413">
        <v>9.477E-4</v>
      </c>
      <c r="AD94" s="420">
        <v>0.80345500000000003</v>
      </c>
      <c r="AE94" s="402">
        <v>0.99380599999999997</v>
      </c>
    </row>
    <row r="95" spans="1:31" x14ac:dyDescent="0.25">
      <c r="K95" s="425"/>
      <c r="Q95" s="425"/>
      <c r="R95" s="409"/>
      <c r="U95" s="414"/>
      <c r="V95" s="414"/>
      <c r="W95" s="413"/>
      <c r="X95" s="406"/>
      <c r="Y95" s="413"/>
      <c r="AA95" s="425"/>
      <c r="AE95" s="425"/>
    </row>
    <row r="96" spans="1:31" x14ac:dyDescent="0.25">
      <c r="A96" s="426" t="s">
        <v>203</v>
      </c>
      <c r="E96" s="494"/>
      <c r="G96" s="414"/>
      <c r="I96" s="413"/>
      <c r="J96" s="414"/>
      <c r="K96" s="408"/>
      <c r="Q96" s="425"/>
      <c r="R96" s="409"/>
      <c r="U96" s="414"/>
      <c r="V96" s="414"/>
      <c r="W96" s="413"/>
      <c r="X96" s="406"/>
      <c r="Y96" s="413"/>
      <c r="Z96" s="412"/>
      <c r="AA96" s="402"/>
      <c r="AE96" s="425"/>
    </row>
    <row r="97" spans="1:31" x14ac:dyDescent="0.25">
      <c r="A97" s="415" t="s">
        <v>204</v>
      </c>
      <c r="B97" s="415" t="s">
        <v>205</v>
      </c>
      <c r="C97" s="421" t="s">
        <v>206</v>
      </c>
      <c r="D97" s="423" t="s">
        <v>207</v>
      </c>
      <c r="E97" s="494" t="s">
        <v>206</v>
      </c>
      <c r="F97" s="415" t="s">
        <v>974</v>
      </c>
      <c r="G97" s="414">
        <v>0.38507000000000002</v>
      </c>
      <c r="H97" s="415">
        <v>-0.66600000000000004</v>
      </c>
      <c r="I97" s="413">
        <v>1.03E-39</v>
      </c>
      <c r="J97" s="414">
        <v>-0.1065</v>
      </c>
      <c r="K97" s="408">
        <v>0.14019999999999999</v>
      </c>
      <c r="L97" s="409" t="s">
        <v>2494</v>
      </c>
      <c r="M97" s="415" t="s">
        <v>208</v>
      </c>
      <c r="N97" s="415">
        <v>-0.63900000000000001</v>
      </c>
      <c r="O97" s="413">
        <v>6.76E-34</v>
      </c>
      <c r="P97" s="415">
        <v>-0.13150000000000001</v>
      </c>
      <c r="Q97" s="413">
        <v>4.0469999999999999E-2</v>
      </c>
      <c r="R97" s="409" t="s">
        <v>2495</v>
      </c>
      <c r="S97" s="415" t="s">
        <v>2496</v>
      </c>
      <c r="T97" s="415" t="s">
        <v>974</v>
      </c>
      <c r="U97" s="414">
        <v>0.46151999999999999</v>
      </c>
      <c r="V97" s="414">
        <v>-0.77700000000000002</v>
      </c>
      <c r="W97" s="413">
        <v>8.9000000000000008E-59</v>
      </c>
      <c r="X97" s="406">
        <v>-0.68720000000000003</v>
      </c>
      <c r="Y97" s="413">
        <v>3.3679999999999999E-21</v>
      </c>
      <c r="Z97" s="412">
        <v>0.61357600000000001</v>
      </c>
      <c r="AA97" s="402">
        <v>0.91672600000000004</v>
      </c>
      <c r="AB97" s="414">
        <v>-0.68679999999999997</v>
      </c>
      <c r="AC97" s="413">
        <v>1.571E-27</v>
      </c>
      <c r="AD97" s="412">
        <v>0.49159199999999997</v>
      </c>
      <c r="AE97" s="402">
        <v>0.95479400000000003</v>
      </c>
    </row>
    <row r="98" spans="1:31" x14ac:dyDescent="0.25">
      <c r="A98" s="415" t="s">
        <v>204</v>
      </c>
      <c r="B98" s="415" t="s">
        <v>205</v>
      </c>
      <c r="C98" s="421" t="s">
        <v>206</v>
      </c>
      <c r="D98" s="423" t="s">
        <v>207</v>
      </c>
      <c r="E98" s="494" t="s">
        <v>2497</v>
      </c>
      <c r="F98" s="415" t="s">
        <v>974</v>
      </c>
      <c r="G98" s="414">
        <v>0.38507000000000002</v>
      </c>
      <c r="H98" s="415">
        <v>-0.214</v>
      </c>
      <c r="I98" s="413">
        <v>5.7500000000000002E-5</v>
      </c>
      <c r="J98" s="414">
        <v>-7.7979999999999994E-2</v>
      </c>
      <c r="K98" s="408">
        <v>0.22120000000000001</v>
      </c>
      <c r="L98" s="415" t="s">
        <v>35</v>
      </c>
      <c r="M98" s="415" t="s">
        <v>35</v>
      </c>
      <c r="N98" s="415" t="s">
        <v>35</v>
      </c>
      <c r="O98" s="415" t="s">
        <v>35</v>
      </c>
      <c r="P98" s="415" t="s">
        <v>35</v>
      </c>
      <c r="Q98" s="425" t="s">
        <v>35</v>
      </c>
      <c r="R98" s="409" t="s">
        <v>2498</v>
      </c>
      <c r="S98" s="415" t="s">
        <v>2499</v>
      </c>
      <c r="T98" s="415" t="s">
        <v>975</v>
      </c>
      <c r="U98" s="414">
        <v>0.48881999999999998</v>
      </c>
      <c r="V98" s="414">
        <v>-0.26600000000000001</v>
      </c>
      <c r="W98" s="413">
        <v>1.35E-7</v>
      </c>
      <c r="X98" s="406">
        <v>-0.22189999999999999</v>
      </c>
      <c r="Y98" s="413">
        <v>2.7690000000000001E-4</v>
      </c>
      <c r="Z98" s="412">
        <v>0.33495999999999998</v>
      </c>
      <c r="AA98" s="402">
        <v>0.74771100000000001</v>
      </c>
      <c r="AB98" s="415" t="s">
        <v>35</v>
      </c>
      <c r="AC98" s="415" t="s">
        <v>35</v>
      </c>
      <c r="AD98" s="415" t="s">
        <v>35</v>
      </c>
      <c r="AE98" s="425" t="s">
        <v>35</v>
      </c>
    </row>
    <row r="99" spans="1:31" x14ac:dyDescent="0.25">
      <c r="K99" s="425"/>
      <c r="Q99" s="425"/>
      <c r="R99" s="409"/>
      <c r="U99" s="414"/>
      <c r="V99" s="414"/>
      <c r="W99" s="413"/>
      <c r="X99" s="406"/>
      <c r="Y99" s="413"/>
      <c r="AA99" s="425"/>
      <c r="AE99" s="425"/>
    </row>
    <row r="100" spans="1:31" x14ac:dyDescent="0.25">
      <c r="A100" s="426" t="s">
        <v>209</v>
      </c>
      <c r="K100" s="425"/>
      <c r="Q100" s="425"/>
      <c r="R100" s="409"/>
      <c r="U100" s="414"/>
      <c r="V100" s="414"/>
      <c r="W100" s="413"/>
      <c r="X100" s="406"/>
      <c r="Y100" s="413"/>
      <c r="AA100" s="425"/>
      <c r="AE100" s="425"/>
    </row>
    <row r="101" spans="1:31" x14ac:dyDescent="0.25">
      <c r="A101" s="415" t="s">
        <v>218</v>
      </c>
      <c r="B101" s="415" t="s">
        <v>219</v>
      </c>
      <c r="C101" s="411" t="s">
        <v>220</v>
      </c>
      <c r="D101" s="509" t="s">
        <v>96</v>
      </c>
      <c r="E101" s="494" t="s">
        <v>2500</v>
      </c>
      <c r="F101" s="415" t="s">
        <v>975</v>
      </c>
      <c r="G101" s="414">
        <v>0.45</v>
      </c>
      <c r="H101" s="415">
        <v>0.39</v>
      </c>
      <c r="I101" s="413">
        <v>1.92E-14</v>
      </c>
      <c r="J101" s="414">
        <v>-7.6850000000000002E-2</v>
      </c>
      <c r="K101" s="408">
        <v>0.20269999999999999</v>
      </c>
      <c r="L101" s="415" t="s">
        <v>35</v>
      </c>
      <c r="M101" s="415" t="s">
        <v>35</v>
      </c>
      <c r="N101" s="415" t="s">
        <v>35</v>
      </c>
      <c r="O101" s="415" t="s">
        <v>35</v>
      </c>
      <c r="P101" s="415" t="s">
        <v>35</v>
      </c>
      <c r="Q101" s="425" t="s">
        <v>35</v>
      </c>
      <c r="R101" s="409" t="s">
        <v>2501</v>
      </c>
      <c r="S101" s="415" t="s">
        <v>2502</v>
      </c>
      <c r="T101" s="415" t="s">
        <v>980</v>
      </c>
      <c r="U101" s="414">
        <v>0.41109000000000001</v>
      </c>
      <c r="V101" s="414">
        <v>-0.66400000000000003</v>
      </c>
      <c r="W101" s="413">
        <v>8.8599999999999998E-43</v>
      </c>
      <c r="X101" s="406">
        <v>-0.71140000000000003</v>
      </c>
      <c r="Y101" s="413">
        <v>3.7069999999999998E-30</v>
      </c>
      <c r="Z101" s="412">
        <v>0.42680400000000002</v>
      </c>
      <c r="AA101" s="402">
        <v>0.70736100000000002</v>
      </c>
      <c r="AB101" s="415" t="s">
        <v>35</v>
      </c>
      <c r="AC101" s="415" t="s">
        <v>35</v>
      </c>
      <c r="AD101" s="415" t="s">
        <v>35</v>
      </c>
      <c r="AE101" s="425" t="s">
        <v>35</v>
      </c>
    </row>
    <row r="102" spans="1:31" x14ac:dyDescent="0.25">
      <c r="A102" s="415" t="s">
        <v>221</v>
      </c>
      <c r="B102" s="415" t="s">
        <v>222</v>
      </c>
      <c r="C102" s="411" t="s">
        <v>223</v>
      </c>
      <c r="D102" s="509" t="s">
        <v>224</v>
      </c>
      <c r="E102" s="494" t="s">
        <v>2431</v>
      </c>
      <c r="F102" s="415" t="s">
        <v>983</v>
      </c>
      <c r="G102" s="414">
        <v>0.35879</v>
      </c>
      <c r="H102" s="415">
        <v>0.32700000000000001</v>
      </c>
      <c r="I102" s="413">
        <v>1.19E-10</v>
      </c>
      <c r="J102" s="414">
        <v>3.2579999999999998E-2</v>
      </c>
      <c r="K102" s="408">
        <v>0.55720000000000003</v>
      </c>
      <c r="L102" s="415" t="s">
        <v>35</v>
      </c>
      <c r="M102" s="415" t="s">
        <v>35</v>
      </c>
      <c r="N102" s="415" t="s">
        <v>35</v>
      </c>
      <c r="O102" s="415" t="s">
        <v>35</v>
      </c>
      <c r="P102" s="415" t="s">
        <v>35</v>
      </c>
      <c r="Q102" s="425" t="s">
        <v>35</v>
      </c>
      <c r="R102" s="409" t="s">
        <v>2432</v>
      </c>
      <c r="S102" s="415" t="s">
        <v>2433</v>
      </c>
      <c r="T102" s="415" t="s">
        <v>976</v>
      </c>
      <c r="U102" s="414">
        <v>0.49085000000000001</v>
      </c>
      <c r="V102" s="414">
        <v>-0.56699999999999995</v>
      </c>
      <c r="W102" s="413">
        <v>3.2499999999999998E-31</v>
      </c>
      <c r="X102" s="406">
        <v>-0.55420000000000003</v>
      </c>
      <c r="Y102" s="413">
        <v>1.738E-22</v>
      </c>
      <c r="Z102" s="412">
        <v>0.251834</v>
      </c>
      <c r="AA102" s="402">
        <v>0.65927800000000003</v>
      </c>
      <c r="AB102" s="415" t="s">
        <v>35</v>
      </c>
      <c r="AC102" s="415" t="s">
        <v>35</v>
      </c>
      <c r="AD102" s="415" t="s">
        <v>35</v>
      </c>
      <c r="AE102" s="425" t="s">
        <v>35</v>
      </c>
    </row>
    <row r="103" spans="1:31" x14ac:dyDescent="0.25">
      <c r="A103" s="415" t="s">
        <v>221</v>
      </c>
      <c r="B103" s="415" t="s">
        <v>222</v>
      </c>
      <c r="C103" s="411" t="s">
        <v>223</v>
      </c>
      <c r="D103" s="509" t="s">
        <v>224</v>
      </c>
      <c r="E103" s="494" t="s">
        <v>2434</v>
      </c>
      <c r="F103" s="415" t="s">
        <v>983</v>
      </c>
      <c r="G103" s="414">
        <v>0.35879</v>
      </c>
      <c r="H103" s="415">
        <v>-0.45400000000000001</v>
      </c>
      <c r="I103" s="413">
        <v>1.16E-19</v>
      </c>
      <c r="J103" s="414">
        <v>-4.3270000000000003E-2</v>
      </c>
      <c r="K103" s="408">
        <v>0.45150000000000001</v>
      </c>
      <c r="L103" s="415" t="s">
        <v>35</v>
      </c>
      <c r="M103" s="415" t="s">
        <v>35</v>
      </c>
      <c r="N103" s="415" t="s">
        <v>35</v>
      </c>
      <c r="O103" s="415" t="s">
        <v>35</v>
      </c>
      <c r="P103" s="415" t="s">
        <v>35</v>
      </c>
      <c r="Q103" s="425" t="s">
        <v>35</v>
      </c>
      <c r="R103" s="409" t="s">
        <v>2435</v>
      </c>
      <c r="S103" s="415" t="s">
        <v>2436</v>
      </c>
      <c r="T103" s="415" t="s">
        <v>975</v>
      </c>
      <c r="U103" s="414">
        <v>0.46168999999999999</v>
      </c>
      <c r="V103" s="414">
        <v>-0.68400000000000005</v>
      </c>
      <c r="W103" s="413">
        <v>1.6599999999999999E-46</v>
      </c>
      <c r="X103" s="406">
        <v>-0.66010000000000002</v>
      </c>
      <c r="Y103" s="413">
        <v>1.221E-28</v>
      </c>
      <c r="Z103" s="412">
        <v>0.39513399999999999</v>
      </c>
      <c r="AA103" s="402">
        <v>0.90807899999999997</v>
      </c>
      <c r="AB103" s="415" t="s">
        <v>35</v>
      </c>
      <c r="AC103" s="415" t="s">
        <v>35</v>
      </c>
      <c r="AD103" s="415" t="s">
        <v>35</v>
      </c>
      <c r="AE103" s="425" t="s">
        <v>35</v>
      </c>
    </row>
    <row r="104" spans="1:31" x14ac:dyDescent="0.25">
      <c r="A104" s="415" t="s">
        <v>221</v>
      </c>
      <c r="B104" s="415" t="s">
        <v>222</v>
      </c>
      <c r="C104" s="411" t="s">
        <v>223</v>
      </c>
      <c r="D104" s="509" t="s">
        <v>224</v>
      </c>
      <c r="E104" s="494" t="s">
        <v>2437</v>
      </c>
      <c r="F104" s="415" t="s">
        <v>983</v>
      </c>
      <c r="G104" s="414">
        <v>0.35879</v>
      </c>
      <c r="H104" s="415">
        <v>0.42599999999999999</v>
      </c>
      <c r="I104" s="413">
        <v>1.9499999999999999E-17</v>
      </c>
      <c r="J104" s="414">
        <v>0.16339999999999999</v>
      </c>
      <c r="K104" s="408">
        <v>1.2710000000000001E-2</v>
      </c>
      <c r="L104" s="415" t="s">
        <v>35</v>
      </c>
      <c r="M104" s="415" t="s">
        <v>35</v>
      </c>
      <c r="N104" s="415" t="s">
        <v>35</v>
      </c>
      <c r="O104" s="415" t="s">
        <v>35</v>
      </c>
      <c r="P104" s="415" t="s">
        <v>35</v>
      </c>
      <c r="Q104" s="425" t="s">
        <v>35</v>
      </c>
      <c r="R104" s="409" t="s">
        <v>2438</v>
      </c>
      <c r="S104" s="415" t="s">
        <v>2439</v>
      </c>
      <c r="T104" s="415" t="s">
        <v>980</v>
      </c>
      <c r="U104" s="414">
        <v>0.45466000000000001</v>
      </c>
      <c r="V104" s="414">
        <v>0.47399999999999998</v>
      </c>
      <c r="W104" s="413">
        <v>1.1899999999999999E-23</v>
      </c>
      <c r="X104" s="406">
        <v>0.36899999999999999</v>
      </c>
      <c r="Y104" s="413">
        <v>4.757E-9</v>
      </c>
      <c r="Z104" s="412">
        <v>0.46558699999999997</v>
      </c>
      <c r="AA104" s="402">
        <v>1</v>
      </c>
      <c r="AB104" s="415" t="s">
        <v>35</v>
      </c>
      <c r="AC104" s="415" t="s">
        <v>35</v>
      </c>
      <c r="AD104" s="415" t="s">
        <v>35</v>
      </c>
      <c r="AE104" s="425" t="s">
        <v>35</v>
      </c>
    </row>
    <row r="105" spans="1:31" x14ac:dyDescent="0.25">
      <c r="A105" s="415" t="s">
        <v>221</v>
      </c>
      <c r="B105" s="415" t="s">
        <v>222</v>
      </c>
      <c r="C105" s="411" t="s">
        <v>223</v>
      </c>
      <c r="D105" s="509" t="s">
        <v>224</v>
      </c>
      <c r="E105" s="494" t="s">
        <v>153</v>
      </c>
      <c r="F105" s="415" t="s">
        <v>983</v>
      </c>
      <c r="G105" s="414">
        <v>0.35879</v>
      </c>
      <c r="H105" s="415">
        <v>0.32400000000000001</v>
      </c>
      <c r="I105" s="413">
        <v>1.6699999999999999E-10</v>
      </c>
      <c r="J105" s="414">
        <v>-6.3219999999999998E-2</v>
      </c>
      <c r="K105" s="408">
        <v>0.69920000000000004</v>
      </c>
      <c r="L105" s="415" t="s">
        <v>35</v>
      </c>
      <c r="M105" s="415" t="s">
        <v>35</v>
      </c>
      <c r="N105" s="415" t="s">
        <v>35</v>
      </c>
      <c r="O105" s="415" t="s">
        <v>35</v>
      </c>
      <c r="P105" s="415" t="s">
        <v>35</v>
      </c>
      <c r="Q105" s="425" t="s">
        <v>35</v>
      </c>
      <c r="R105" s="409" t="s">
        <v>2440</v>
      </c>
      <c r="S105" s="415" t="s">
        <v>2441</v>
      </c>
      <c r="T105" s="415" t="s">
        <v>972</v>
      </c>
      <c r="U105" s="414">
        <v>0.38307000000000002</v>
      </c>
      <c r="V105" s="414">
        <v>0.34100000000000003</v>
      </c>
      <c r="W105" s="413">
        <v>9.2500000000000004E-12</v>
      </c>
      <c r="X105" s="406">
        <v>0.38879999999999998</v>
      </c>
      <c r="Y105" s="413">
        <v>1.626E-2</v>
      </c>
      <c r="Z105" s="412">
        <v>7.7240199999999998E-3</v>
      </c>
      <c r="AA105" s="402">
        <v>1</v>
      </c>
      <c r="AB105" s="415" t="s">
        <v>35</v>
      </c>
      <c r="AC105" s="415" t="s">
        <v>35</v>
      </c>
      <c r="AD105" s="415" t="s">
        <v>35</v>
      </c>
      <c r="AE105" s="425" t="s">
        <v>35</v>
      </c>
    </row>
    <row r="106" spans="1:31" x14ac:dyDescent="0.25">
      <c r="A106" s="407" t="s">
        <v>221</v>
      </c>
      <c r="B106" s="407" t="s">
        <v>222</v>
      </c>
      <c r="C106" s="411" t="s">
        <v>223</v>
      </c>
      <c r="D106" s="509" t="s">
        <v>224</v>
      </c>
      <c r="E106" s="510" t="s">
        <v>2442</v>
      </c>
      <c r="F106" s="407" t="s">
        <v>983</v>
      </c>
      <c r="G106" s="405">
        <v>0.35879</v>
      </c>
      <c r="H106" s="407">
        <v>-0.27800000000000002</v>
      </c>
      <c r="I106" s="404">
        <v>4.8300000000000002E-8</v>
      </c>
      <c r="J106" s="405">
        <v>-5.0169999999999999E-2</v>
      </c>
      <c r="K106" s="408">
        <v>0.2984</v>
      </c>
      <c r="L106" s="407" t="s">
        <v>35</v>
      </c>
      <c r="M106" s="407" t="s">
        <v>35</v>
      </c>
      <c r="N106" s="407" t="s">
        <v>35</v>
      </c>
      <c r="O106" s="407" t="s">
        <v>35</v>
      </c>
      <c r="P106" s="407" t="s">
        <v>35</v>
      </c>
      <c r="Q106" s="425" t="s">
        <v>35</v>
      </c>
      <c r="R106" s="409" t="s">
        <v>2443</v>
      </c>
      <c r="S106" s="407" t="s">
        <v>2444</v>
      </c>
      <c r="T106" s="407" t="s">
        <v>986</v>
      </c>
      <c r="U106" s="405">
        <v>0.31512000000000001</v>
      </c>
      <c r="V106" s="405">
        <v>-0.748</v>
      </c>
      <c r="W106" s="404">
        <v>2.4099999999999999E-44</v>
      </c>
      <c r="X106" s="406">
        <v>-0.72809999999999997</v>
      </c>
      <c r="Y106" s="404">
        <v>6.0470000000000003E-38</v>
      </c>
      <c r="Z106" s="403">
        <v>0.109723</v>
      </c>
      <c r="AA106" s="402">
        <v>0.36516999999999999</v>
      </c>
      <c r="AB106" s="407" t="s">
        <v>35</v>
      </c>
      <c r="AC106" s="407" t="s">
        <v>35</v>
      </c>
      <c r="AD106" s="407" t="s">
        <v>35</v>
      </c>
      <c r="AE106" s="425" t="s">
        <v>35</v>
      </c>
    </row>
    <row r="107" spans="1:31" x14ac:dyDescent="0.25">
      <c r="A107" s="407"/>
      <c r="B107" s="407"/>
      <c r="C107" s="411"/>
      <c r="D107" s="509"/>
      <c r="E107" s="510"/>
      <c r="F107" s="407"/>
      <c r="G107" s="405"/>
      <c r="H107" s="407"/>
      <c r="I107" s="404"/>
      <c r="J107" s="405"/>
      <c r="K107" s="404"/>
      <c r="L107" s="407"/>
      <c r="M107" s="407"/>
      <c r="N107" s="407"/>
      <c r="O107" s="407"/>
      <c r="P107" s="407"/>
      <c r="Q107" s="425"/>
      <c r="R107" s="407"/>
      <c r="S107" s="407"/>
      <c r="T107" s="407"/>
      <c r="U107" s="405"/>
      <c r="V107" s="405"/>
      <c r="W107" s="404"/>
      <c r="X107" s="406"/>
      <c r="Y107" s="404"/>
      <c r="Z107" s="403"/>
      <c r="AA107" s="402"/>
      <c r="AB107" s="407"/>
      <c r="AC107" s="407"/>
      <c r="AD107" s="407"/>
      <c r="AE107" s="425"/>
    </row>
    <row r="108" spans="1:31" x14ac:dyDescent="0.25">
      <c r="A108" s="426" t="s">
        <v>244</v>
      </c>
      <c r="B108" s="428"/>
      <c r="C108" s="392"/>
      <c r="D108" s="427"/>
      <c r="E108" s="511"/>
      <c r="F108" s="390"/>
      <c r="G108" s="389"/>
      <c r="H108" s="512"/>
      <c r="I108" s="513"/>
      <c r="J108" s="414"/>
      <c r="K108" s="413"/>
      <c r="L108" s="409"/>
      <c r="M108" s="407"/>
      <c r="N108" s="405"/>
      <c r="O108" s="404"/>
      <c r="P108" s="405"/>
      <c r="Q108" s="408"/>
      <c r="U108" s="414"/>
      <c r="V108" s="414"/>
      <c r="W108" s="413"/>
      <c r="X108" s="406"/>
      <c r="Y108" s="413"/>
      <c r="AA108" s="425"/>
      <c r="AB108" s="414"/>
      <c r="AC108" s="413"/>
      <c r="AE108" s="425"/>
    </row>
    <row r="109" spans="1:31" x14ac:dyDescent="0.25">
      <c r="A109" s="423" t="s">
        <v>250</v>
      </c>
      <c r="B109" s="423" t="s">
        <v>251</v>
      </c>
      <c r="C109" s="424" t="s">
        <v>252</v>
      </c>
      <c r="D109" s="423" t="s">
        <v>253</v>
      </c>
      <c r="E109" s="416" t="s">
        <v>2503</v>
      </c>
      <c r="F109" s="415" t="s">
        <v>980</v>
      </c>
      <c r="G109" s="414">
        <v>0.20527999999999999</v>
      </c>
      <c r="H109" s="414">
        <v>-0.252</v>
      </c>
      <c r="I109" s="413">
        <v>8.6500000000000002E-5</v>
      </c>
      <c r="J109" s="414">
        <v>4.7419999999999997E-2</v>
      </c>
      <c r="K109" s="413">
        <v>0.57999999999999996</v>
      </c>
      <c r="L109" s="409" t="s">
        <v>35</v>
      </c>
      <c r="M109" s="407" t="s">
        <v>35</v>
      </c>
      <c r="N109" s="405" t="s">
        <v>35</v>
      </c>
      <c r="O109" s="404" t="s">
        <v>35</v>
      </c>
      <c r="P109" s="405" t="s">
        <v>35</v>
      </c>
      <c r="Q109" s="408" t="s">
        <v>35</v>
      </c>
      <c r="R109" s="415" t="s">
        <v>2504</v>
      </c>
      <c r="S109" s="415" t="s">
        <v>2505</v>
      </c>
      <c r="T109" s="415" t="s">
        <v>983</v>
      </c>
      <c r="U109" s="414">
        <v>0.12856000000000001</v>
      </c>
      <c r="V109" s="414">
        <v>-0.502</v>
      </c>
      <c r="W109" s="413">
        <v>7.9900000000000003E-11</v>
      </c>
      <c r="X109" s="406">
        <v>-0.54390000000000005</v>
      </c>
      <c r="Y109" s="413">
        <v>1.998E-7</v>
      </c>
      <c r="Z109" s="419">
        <v>0.48182799999999998</v>
      </c>
      <c r="AA109" s="402">
        <v>0.91638299999999995</v>
      </c>
      <c r="AB109" s="414" t="s">
        <v>35</v>
      </c>
      <c r="AC109" s="413" t="s">
        <v>35</v>
      </c>
      <c r="AD109" s="415" t="s">
        <v>35</v>
      </c>
      <c r="AE109" s="425" t="s">
        <v>35</v>
      </c>
    </row>
    <row r="110" spans="1:31" x14ac:dyDescent="0.25">
      <c r="A110" s="415"/>
      <c r="B110" s="415"/>
      <c r="C110" s="410"/>
      <c r="D110" s="407"/>
      <c r="E110" s="417"/>
      <c r="F110" s="415"/>
      <c r="G110" s="414"/>
      <c r="H110" s="414"/>
      <c r="I110" s="413"/>
      <c r="J110" s="414"/>
      <c r="K110" s="413"/>
      <c r="L110" s="409"/>
      <c r="M110" s="407"/>
      <c r="N110" s="405"/>
      <c r="O110" s="404"/>
      <c r="P110" s="405"/>
      <c r="Q110" s="408"/>
      <c r="R110" s="415"/>
      <c r="S110" s="415"/>
      <c r="T110" s="415"/>
      <c r="U110" s="414"/>
      <c r="V110" s="414"/>
      <c r="W110" s="413"/>
      <c r="X110" s="406"/>
      <c r="Y110" s="413"/>
      <c r="Z110" s="412"/>
      <c r="AA110" s="402"/>
      <c r="AB110" s="414"/>
      <c r="AC110" s="413"/>
      <c r="AD110" s="415"/>
      <c r="AE110" s="425"/>
    </row>
    <row r="111" spans="1:31" x14ac:dyDescent="0.25">
      <c r="A111" s="426" t="s">
        <v>254</v>
      </c>
      <c r="B111" s="415"/>
      <c r="C111" s="416"/>
      <c r="D111" s="415"/>
      <c r="E111" s="417"/>
      <c r="F111" s="415"/>
      <c r="G111" s="414"/>
      <c r="H111" s="414"/>
      <c r="I111" s="413"/>
      <c r="J111" s="414"/>
      <c r="K111" s="413"/>
      <c r="L111" s="409"/>
      <c r="M111" s="407"/>
      <c r="N111" s="405"/>
      <c r="O111" s="404"/>
      <c r="P111" s="405"/>
      <c r="Q111" s="408"/>
      <c r="R111" s="415"/>
      <c r="S111" s="415"/>
      <c r="T111" s="415"/>
      <c r="U111" s="414"/>
      <c r="V111" s="414"/>
      <c r="W111" s="413"/>
      <c r="X111" s="406"/>
      <c r="Y111" s="413"/>
      <c r="Z111" s="412"/>
      <c r="AA111" s="402"/>
      <c r="AB111" s="414"/>
      <c r="AC111" s="413"/>
      <c r="AD111" s="415"/>
      <c r="AE111" s="425"/>
    </row>
    <row r="112" spans="1:31" x14ac:dyDescent="0.25">
      <c r="A112" s="415" t="s">
        <v>256</v>
      </c>
      <c r="B112" s="415" t="s">
        <v>257</v>
      </c>
      <c r="C112" s="424" t="s">
        <v>258</v>
      </c>
      <c r="D112" s="423" t="s">
        <v>259</v>
      </c>
      <c r="E112" s="416" t="s">
        <v>2506</v>
      </c>
      <c r="F112" s="415" t="s">
        <v>975</v>
      </c>
      <c r="G112" s="414">
        <v>7.8570000000000001E-2</v>
      </c>
      <c r="H112" s="414">
        <v>-0.36199999999999999</v>
      </c>
      <c r="I112" s="413">
        <v>1.12E-4</v>
      </c>
      <c r="J112" s="414">
        <v>-0.1467</v>
      </c>
      <c r="K112" s="413">
        <v>0.13289999999999999</v>
      </c>
      <c r="L112" s="409" t="s">
        <v>35</v>
      </c>
      <c r="M112" s="407" t="s">
        <v>35</v>
      </c>
      <c r="N112" s="405" t="s">
        <v>35</v>
      </c>
      <c r="O112" s="404" t="s">
        <v>35</v>
      </c>
      <c r="P112" s="405" t="s">
        <v>35</v>
      </c>
      <c r="Q112" s="408" t="s">
        <v>35</v>
      </c>
      <c r="R112" s="415" t="s">
        <v>2507</v>
      </c>
      <c r="S112" s="415" t="s">
        <v>2508</v>
      </c>
      <c r="T112" s="415" t="s">
        <v>980</v>
      </c>
      <c r="U112" s="414">
        <v>5.3940000000000002E-2</v>
      </c>
      <c r="V112" s="414">
        <v>0.73499999999999999</v>
      </c>
      <c r="W112" s="413">
        <v>5.9599999999999996E-12</v>
      </c>
      <c r="X112" s="406">
        <v>0.67149999999999999</v>
      </c>
      <c r="Y112" s="413">
        <v>3.8769999999999997E-9</v>
      </c>
      <c r="Z112" s="412">
        <v>0.119808</v>
      </c>
      <c r="AA112" s="402">
        <v>0.42348200000000003</v>
      </c>
      <c r="AB112" s="414" t="s">
        <v>35</v>
      </c>
      <c r="AC112" s="413" t="s">
        <v>35</v>
      </c>
      <c r="AD112" s="415" t="s">
        <v>35</v>
      </c>
      <c r="AE112" s="425" t="s">
        <v>35</v>
      </c>
    </row>
    <row r="113" spans="1:31" x14ac:dyDescent="0.25">
      <c r="A113" s="415" t="s">
        <v>36</v>
      </c>
      <c r="B113" s="415" t="s">
        <v>37</v>
      </c>
      <c r="C113" s="424" t="s">
        <v>38</v>
      </c>
      <c r="D113" s="423" t="s">
        <v>39</v>
      </c>
      <c r="E113" s="416" t="s">
        <v>38</v>
      </c>
      <c r="F113" s="415" t="s">
        <v>978</v>
      </c>
      <c r="G113" s="414">
        <v>8.1170000000000006E-2</v>
      </c>
      <c r="H113" s="414">
        <v>0.73199999999999998</v>
      </c>
      <c r="I113" s="413">
        <v>3.7799999999999998E-16</v>
      </c>
      <c r="J113" s="414">
        <v>6.4640000000000003E-2</v>
      </c>
      <c r="K113" s="413">
        <v>0.67300000000000004</v>
      </c>
      <c r="L113" s="409" t="s">
        <v>35</v>
      </c>
      <c r="M113" s="407" t="s">
        <v>35</v>
      </c>
      <c r="N113" s="405" t="s">
        <v>35</v>
      </c>
      <c r="O113" s="404" t="s">
        <v>35</v>
      </c>
      <c r="P113" s="405" t="s">
        <v>35</v>
      </c>
      <c r="Q113" s="408" t="s">
        <v>35</v>
      </c>
      <c r="R113" s="415" t="s">
        <v>2314</v>
      </c>
      <c r="S113" s="415" t="s">
        <v>2315</v>
      </c>
      <c r="T113" s="415" t="s">
        <v>983</v>
      </c>
      <c r="U113" s="414">
        <v>8.8410000000000002E-2</v>
      </c>
      <c r="V113" s="414">
        <v>0.83399999999999996</v>
      </c>
      <c r="W113" s="413">
        <v>5.1000000000000002E-22</v>
      </c>
      <c r="X113" s="406">
        <v>0.77569999999999995</v>
      </c>
      <c r="Y113" s="413">
        <v>2.4509999999999999E-7</v>
      </c>
      <c r="Z113" s="419">
        <v>0.67003900000000005</v>
      </c>
      <c r="AA113" s="402">
        <v>0.857155</v>
      </c>
      <c r="AB113" s="414" t="s">
        <v>35</v>
      </c>
      <c r="AC113" s="413" t="s">
        <v>35</v>
      </c>
      <c r="AD113" s="415" t="s">
        <v>35</v>
      </c>
      <c r="AE113" s="425" t="s">
        <v>35</v>
      </c>
    </row>
    <row r="114" spans="1:31" x14ac:dyDescent="0.25">
      <c r="A114" s="415" t="s">
        <v>36</v>
      </c>
      <c r="B114" s="415" t="s">
        <v>37</v>
      </c>
      <c r="C114" s="424" t="s">
        <v>38</v>
      </c>
      <c r="D114" s="423" t="s">
        <v>39</v>
      </c>
      <c r="E114" s="416" t="s">
        <v>2316</v>
      </c>
      <c r="F114" s="415" t="s">
        <v>978</v>
      </c>
      <c r="G114" s="414">
        <v>8.1170000000000006E-2</v>
      </c>
      <c r="H114" s="414">
        <v>-0.46899999999999997</v>
      </c>
      <c r="I114" s="413">
        <v>2.4200000000000002E-7</v>
      </c>
      <c r="J114" s="414">
        <v>-0.4093</v>
      </c>
      <c r="K114" s="413">
        <v>5.9610000000000002E-6</v>
      </c>
      <c r="L114" s="422" t="s">
        <v>2317</v>
      </c>
      <c r="M114" s="404" t="s">
        <v>1012</v>
      </c>
      <c r="N114" s="405">
        <v>-0.25800000000000001</v>
      </c>
      <c r="O114" s="404">
        <v>3.8299999999999998E-6</v>
      </c>
      <c r="P114" s="405">
        <v>-0.247</v>
      </c>
      <c r="Q114" s="408">
        <v>7.0119999999999999E-6</v>
      </c>
      <c r="R114" s="415" t="s">
        <v>2318</v>
      </c>
      <c r="S114" s="415" t="s">
        <v>2319</v>
      </c>
      <c r="T114" s="415" t="s">
        <v>978</v>
      </c>
      <c r="U114" s="414">
        <v>0.27302999999999999</v>
      </c>
      <c r="V114" s="414">
        <v>0.309</v>
      </c>
      <c r="W114" s="413">
        <v>4.1299999999999999E-8</v>
      </c>
      <c r="X114" s="406">
        <v>0.27139999999999997</v>
      </c>
      <c r="Y114" s="413">
        <v>1.359E-6</v>
      </c>
      <c r="Z114" s="419">
        <v>1.49655E-2</v>
      </c>
      <c r="AA114" s="402">
        <v>0.25204799999999999</v>
      </c>
      <c r="AB114" s="414">
        <v>0.29370000000000002</v>
      </c>
      <c r="AC114" s="413">
        <v>1.3729999999999999E-7</v>
      </c>
      <c r="AD114" s="412">
        <v>1.60351E-3</v>
      </c>
      <c r="AE114" s="402">
        <v>4.4670799999999997E-2</v>
      </c>
    </row>
    <row r="115" spans="1:31" x14ac:dyDescent="0.25">
      <c r="A115" s="415" t="s">
        <v>64</v>
      </c>
      <c r="B115" s="415" t="s">
        <v>65</v>
      </c>
      <c r="C115" s="421" t="s">
        <v>918</v>
      </c>
      <c r="D115" s="423" t="s">
        <v>66</v>
      </c>
      <c r="E115" s="416" t="s">
        <v>919</v>
      </c>
      <c r="F115" s="415" t="s">
        <v>983</v>
      </c>
      <c r="G115" s="414">
        <v>0.21160999999999999</v>
      </c>
      <c r="H115" s="414">
        <v>-0.53800000000000003</v>
      </c>
      <c r="I115" s="413">
        <v>5.2299999999999999E-18</v>
      </c>
      <c r="J115" s="414">
        <v>7.3510000000000006E-2</v>
      </c>
      <c r="K115" s="413">
        <v>0.3609</v>
      </c>
      <c r="L115" s="409" t="s">
        <v>2368</v>
      </c>
      <c r="M115" s="407" t="s">
        <v>67</v>
      </c>
      <c r="N115" s="405">
        <v>0.501</v>
      </c>
      <c r="O115" s="404">
        <v>6.3300000000000004E-25</v>
      </c>
      <c r="P115" s="405">
        <v>0.27079999999999999</v>
      </c>
      <c r="Q115" s="408">
        <v>4.1010000000000001E-8</v>
      </c>
      <c r="R115" s="415" t="s">
        <v>2369</v>
      </c>
      <c r="S115" s="415" t="s">
        <v>2370</v>
      </c>
      <c r="T115" s="415" t="s">
        <v>978</v>
      </c>
      <c r="U115" s="414">
        <v>0.32206000000000001</v>
      </c>
      <c r="V115" s="414">
        <v>0.69499999999999995</v>
      </c>
      <c r="W115" s="413">
        <v>7.5099999999999998E-41</v>
      </c>
      <c r="X115" s="406">
        <v>0.73640000000000005</v>
      </c>
      <c r="Y115" s="413">
        <v>2.328E-24</v>
      </c>
      <c r="Z115" s="419">
        <v>0.49761899999999998</v>
      </c>
      <c r="AA115" s="402">
        <v>0.93829600000000002</v>
      </c>
      <c r="AB115" s="414">
        <v>0.56810000000000005</v>
      </c>
      <c r="AC115" s="413">
        <v>8.5410000000000006E-25</v>
      </c>
      <c r="AD115" s="412">
        <v>0.19381200000000001</v>
      </c>
      <c r="AE115" s="402">
        <v>0.59693300000000005</v>
      </c>
    </row>
    <row r="116" spans="1:31" x14ac:dyDescent="0.25">
      <c r="A116" s="415" t="s">
        <v>68</v>
      </c>
      <c r="B116" s="415" t="s">
        <v>69</v>
      </c>
      <c r="C116" s="421" t="s">
        <v>919</v>
      </c>
      <c r="D116" s="423" t="s">
        <v>70</v>
      </c>
      <c r="E116" s="416" t="s">
        <v>919</v>
      </c>
      <c r="F116" s="415" t="s">
        <v>974</v>
      </c>
      <c r="G116" s="414">
        <v>0.19486000000000001</v>
      </c>
      <c r="H116" s="414">
        <v>-0.46600000000000003</v>
      </c>
      <c r="I116" s="413">
        <v>4.7000000000000002E-13</v>
      </c>
      <c r="J116" s="414">
        <v>0.27450000000000002</v>
      </c>
      <c r="K116" s="413">
        <v>1.07E-3</v>
      </c>
      <c r="L116" s="409" t="s">
        <v>2368</v>
      </c>
      <c r="M116" s="407" t="s">
        <v>67</v>
      </c>
      <c r="N116" s="405">
        <v>0.501</v>
      </c>
      <c r="O116" s="404">
        <v>6.3300000000000004E-25</v>
      </c>
      <c r="P116" s="405">
        <v>0.27079999999999999</v>
      </c>
      <c r="Q116" s="408">
        <v>4.1010000000000001E-8</v>
      </c>
      <c r="R116" s="415" t="s">
        <v>2369</v>
      </c>
      <c r="S116" s="415" t="s">
        <v>2370</v>
      </c>
      <c r="T116" s="415" t="s">
        <v>978</v>
      </c>
      <c r="U116" s="414">
        <v>0.32206000000000001</v>
      </c>
      <c r="V116" s="414">
        <v>0.69499999999999995</v>
      </c>
      <c r="W116" s="413">
        <v>7.5099999999999998E-41</v>
      </c>
      <c r="X116" s="406">
        <v>0.86219999999999997</v>
      </c>
      <c r="Y116" s="413">
        <v>1.662E-31</v>
      </c>
      <c r="Z116" s="419">
        <v>0.50923499999999999</v>
      </c>
      <c r="AA116" s="402">
        <v>1</v>
      </c>
      <c r="AB116" s="414">
        <v>0.56810000000000005</v>
      </c>
      <c r="AC116" s="413">
        <v>8.5410000000000006E-25</v>
      </c>
      <c r="AD116" s="412">
        <v>0.19381200000000001</v>
      </c>
      <c r="AE116" s="402">
        <v>0.59693300000000005</v>
      </c>
    </row>
    <row r="117" spans="1:31" x14ac:dyDescent="0.25">
      <c r="A117" s="415" t="s">
        <v>94</v>
      </c>
      <c r="B117" s="415" t="s">
        <v>95</v>
      </c>
      <c r="C117" s="421" t="s">
        <v>923</v>
      </c>
      <c r="D117" s="423" t="s">
        <v>96</v>
      </c>
      <c r="E117" s="416" t="s">
        <v>923</v>
      </c>
      <c r="F117" s="415" t="s">
        <v>980</v>
      </c>
      <c r="G117" s="414">
        <v>0.46168999999999999</v>
      </c>
      <c r="H117" s="414">
        <v>0.317</v>
      </c>
      <c r="I117" s="413">
        <v>4.7200000000000002E-10</v>
      </c>
      <c r="J117" s="414">
        <v>0.19350000000000001</v>
      </c>
      <c r="K117" s="413">
        <v>6.8940000000000001E-5</v>
      </c>
      <c r="L117" s="409" t="s">
        <v>35</v>
      </c>
      <c r="M117" s="407" t="s">
        <v>35</v>
      </c>
      <c r="N117" s="405" t="s">
        <v>35</v>
      </c>
      <c r="O117" s="404" t="s">
        <v>35</v>
      </c>
      <c r="P117" s="405" t="s">
        <v>35</v>
      </c>
      <c r="Q117" s="408" t="s">
        <v>35</v>
      </c>
      <c r="R117" s="415" t="s">
        <v>2372</v>
      </c>
      <c r="S117" s="415" t="s">
        <v>2373</v>
      </c>
      <c r="T117" s="415" t="s">
        <v>972</v>
      </c>
      <c r="U117" s="414">
        <v>5.4879999999999998E-2</v>
      </c>
      <c r="V117" s="414">
        <v>1.27</v>
      </c>
      <c r="W117" s="413">
        <v>2.6899999999999999E-29</v>
      </c>
      <c r="X117" s="406">
        <v>1.1619999999999999</v>
      </c>
      <c r="Y117" s="413">
        <v>3.2610000000000001E-24</v>
      </c>
      <c r="Z117" s="419">
        <v>6.6420699999999999E-2</v>
      </c>
      <c r="AA117" s="402">
        <v>1</v>
      </c>
      <c r="AB117" s="414" t="s">
        <v>35</v>
      </c>
      <c r="AC117" s="413" t="s">
        <v>35</v>
      </c>
      <c r="AD117" s="412" t="s">
        <v>35</v>
      </c>
      <c r="AE117" s="402" t="s">
        <v>35</v>
      </c>
    </row>
    <row r="118" spans="1:31" x14ac:dyDescent="0.25">
      <c r="A118" s="415" t="s">
        <v>94</v>
      </c>
      <c r="B118" s="415" t="s">
        <v>95</v>
      </c>
      <c r="C118" s="421" t="s">
        <v>923</v>
      </c>
      <c r="D118" s="423" t="s">
        <v>96</v>
      </c>
      <c r="E118" s="416" t="s">
        <v>2028</v>
      </c>
      <c r="F118" s="415" t="s">
        <v>980</v>
      </c>
      <c r="G118" s="414">
        <v>0.46168999999999999</v>
      </c>
      <c r="H118" s="414">
        <v>-0.191</v>
      </c>
      <c r="I118" s="413">
        <v>1.9799999999999999E-4</v>
      </c>
      <c r="J118" s="414">
        <v>1.4670000000000001E-2</v>
      </c>
      <c r="K118" s="413">
        <v>0.6875</v>
      </c>
      <c r="L118" s="409" t="s">
        <v>2374</v>
      </c>
      <c r="M118" s="407" t="s">
        <v>1017</v>
      </c>
      <c r="N118" s="405">
        <v>-0.32900000000000001</v>
      </c>
      <c r="O118" s="404">
        <v>5.7000000000000001E-8</v>
      </c>
      <c r="P118" s="405">
        <v>-3.7789999999999997E-2</v>
      </c>
      <c r="Q118" s="408">
        <v>0.38840000000000002</v>
      </c>
      <c r="R118" s="415" t="s">
        <v>2375</v>
      </c>
      <c r="S118" s="415" t="s">
        <v>2376</v>
      </c>
      <c r="T118" s="415" t="s">
        <v>978</v>
      </c>
      <c r="U118" s="414">
        <v>0.42298000000000002</v>
      </c>
      <c r="V118" s="414">
        <v>-1.05</v>
      </c>
      <c r="W118" s="413">
        <v>1.3200000000000001E-122</v>
      </c>
      <c r="X118" s="406">
        <v>-1.048</v>
      </c>
      <c r="Y118" s="413">
        <v>1.456E-119</v>
      </c>
      <c r="Z118" s="419">
        <v>3.99551E-2</v>
      </c>
      <c r="AA118" s="402">
        <v>0.25189</v>
      </c>
      <c r="AB118" s="414">
        <v>-1.036</v>
      </c>
      <c r="AC118" s="413">
        <v>9.0880000000000001E-116</v>
      </c>
      <c r="AD118" s="412">
        <v>6.5893699999999999E-2</v>
      </c>
      <c r="AE118" s="402">
        <v>0.55858699999999994</v>
      </c>
    </row>
    <row r="119" spans="1:31" x14ac:dyDescent="0.25">
      <c r="A119" s="415" t="s">
        <v>121</v>
      </c>
      <c r="B119" s="415" t="s">
        <v>122</v>
      </c>
      <c r="C119" s="411" t="s">
        <v>123</v>
      </c>
      <c r="D119" s="509" t="s">
        <v>124</v>
      </c>
      <c r="E119" s="416" t="s">
        <v>2402</v>
      </c>
      <c r="F119" s="415" t="s">
        <v>974</v>
      </c>
      <c r="G119" s="414">
        <v>0.10141</v>
      </c>
      <c r="H119" s="414">
        <v>-0.34300000000000003</v>
      </c>
      <c r="I119" s="413">
        <v>5.4299999999999998E-5</v>
      </c>
      <c r="J119" s="414">
        <v>-0.14080000000000001</v>
      </c>
      <c r="K119" s="413">
        <v>9.4070000000000001E-2</v>
      </c>
      <c r="L119" s="409" t="s">
        <v>35</v>
      </c>
      <c r="M119" s="407" t="s">
        <v>35</v>
      </c>
      <c r="N119" s="405" t="s">
        <v>35</v>
      </c>
      <c r="O119" s="404" t="s">
        <v>35</v>
      </c>
      <c r="P119" s="405" t="s">
        <v>35</v>
      </c>
      <c r="Q119" s="408" t="s">
        <v>35</v>
      </c>
      <c r="R119" s="415" t="s">
        <v>2403</v>
      </c>
      <c r="S119" s="415" t="s">
        <v>2404</v>
      </c>
      <c r="T119" s="415" t="s">
        <v>980</v>
      </c>
      <c r="U119" s="414">
        <v>0.42792000000000002</v>
      </c>
      <c r="V119" s="414">
        <v>-0.47599999999999998</v>
      </c>
      <c r="W119" s="413">
        <v>2.9400000000000001E-20</v>
      </c>
      <c r="X119" s="406">
        <v>-0.44819999999999999</v>
      </c>
      <c r="Y119" s="413">
        <v>6.1630000000000003E-17</v>
      </c>
      <c r="Z119" s="419">
        <v>8.4313700000000005E-2</v>
      </c>
      <c r="AA119" s="402">
        <v>1</v>
      </c>
      <c r="AB119" s="414" t="s">
        <v>35</v>
      </c>
      <c r="AC119" s="413" t="s">
        <v>35</v>
      </c>
      <c r="AD119" s="412" t="s">
        <v>35</v>
      </c>
      <c r="AE119" s="402" t="s">
        <v>35</v>
      </c>
    </row>
    <row r="120" spans="1:31" x14ac:dyDescent="0.25">
      <c r="A120" s="415" t="s">
        <v>121</v>
      </c>
      <c r="B120" s="415" t="s">
        <v>122</v>
      </c>
      <c r="C120" s="411" t="s">
        <v>123</v>
      </c>
      <c r="D120" s="509" t="s">
        <v>124</v>
      </c>
      <c r="E120" s="416" t="s">
        <v>2405</v>
      </c>
      <c r="F120" s="415" t="s">
        <v>974</v>
      </c>
      <c r="G120" s="414">
        <v>0.10141</v>
      </c>
      <c r="H120" s="414">
        <v>-1.32</v>
      </c>
      <c r="I120" s="413">
        <v>6.1799999999999998E-64</v>
      </c>
      <c r="J120" s="414">
        <v>-0.18029999999999999</v>
      </c>
      <c r="K120" s="413">
        <v>0.21820000000000001</v>
      </c>
      <c r="L120" s="409" t="s">
        <v>2406</v>
      </c>
      <c r="M120" s="407" t="s">
        <v>125</v>
      </c>
      <c r="N120" s="405">
        <v>-1.45</v>
      </c>
      <c r="O120" s="404">
        <v>2.1700000000000001E-67</v>
      </c>
      <c r="P120" s="405">
        <v>2.9960000000000001E-2</v>
      </c>
      <c r="Q120" s="408">
        <v>0.8821</v>
      </c>
      <c r="R120" s="415" t="s">
        <v>2407</v>
      </c>
      <c r="S120" s="415" t="s">
        <v>2408</v>
      </c>
      <c r="T120" s="415" t="s">
        <v>983</v>
      </c>
      <c r="U120" s="414">
        <v>8.1059999999999993E-2</v>
      </c>
      <c r="V120" s="414">
        <v>-1.63</v>
      </c>
      <c r="W120" s="413">
        <v>3.19E-80</v>
      </c>
      <c r="X120" s="406">
        <v>-1.4790000000000001</v>
      </c>
      <c r="Y120" s="413">
        <v>1.9899999999999998E-18</v>
      </c>
      <c r="Z120" s="419">
        <v>0.78319799999999995</v>
      </c>
      <c r="AA120" s="402">
        <v>0.99105799999999999</v>
      </c>
      <c r="AB120" s="414">
        <v>-1.659</v>
      </c>
      <c r="AC120" s="413">
        <v>1.4830000000000002E-14</v>
      </c>
      <c r="AD120" s="420">
        <v>0.87006600000000001</v>
      </c>
      <c r="AE120" s="402">
        <v>0.95658600000000005</v>
      </c>
    </row>
    <row r="121" spans="1:31" x14ac:dyDescent="0.25">
      <c r="A121" s="415" t="s">
        <v>121</v>
      </c>
      <c r="B121" s="415" t="s">
        <v>122</v>
      </c>
      <c r="C121" s="411" t="s">
        <v>123</v>
      </c>
      <c r="D121" s="509" t="s">
        <v>124</v>
      </c>
      <c r="E121" s="416" t="s">
        <v>2409</v>
      </c>
      <c r="F121" s="415" t="s">
        <v>974</v>
      </c>
      <c r="G121" s="414">
        <v>0.10141</v>
      </c>
      <c r="H121" s="414">
        <v>-0.32100000000000001</v>
      </c>
      <c r="I121" s="413">
        <v>1.75E-4</v>
      </c>
      <c r="J121" s="414">
        <v>-0.3478</v>
      </c>
      <c r="K121" s="413">
        <v>1.8870000000000001E-5</v>
      </c>
      <c r="L121" s="409" t="s">
        <v>2406</v>
      </c>
      <c r="M121" s="407" t="s">
        <v>125</v>
      </c>
      <c r="N121" s="405">
        <v>-0.33800000000000002</v>
      </c>
      <c r="O121" s="404">
        <v>2.2499999999999999E-4</v>
      </c>
      <c r="P121" s="405">
        <v>-0.3705</v>
      </c>
      <c r="Q121" s="408">
        <v>2.1860000000000001E-5</v>
      </c>
      <c r="R121" s="415" t="s">
        <v>2410</v>
      </c>
      <c r="S121" s="415" t="s">
        <v>2411</v>
      </c>
      <c r="T121" s="415" t="s">
        <v>980</v>
      </c>
      <c r="U121" s="414">
        <v>2.5260000000000001E-2</v>
      </c>
      <c r="V121" s="414">
        <v>-1.37</v>
      </c>
      <c r="W121" s="413">
        <v>2.6600000000000001E-18</v>
      </c>
      <c r="X121" s="406">
        <v>-1.3959999999999999</v>
      </c>
      <c r="Y121" s="413">
        <v>5.1029999999999999E-19</v>
      </c>
      <c r="Z121" s="419">
        <v>2.1581700000000001E-3</v>
      </c>
      <c r="AA121" s="402">
        <v>0.85843400000000003</v>
      </c>
      <c r="AB121" s="414">
        <v>-1.3979999999999999</v>
      </c>
      <c r="AC121" s="413">
        <v>3.2550000000000002E-19</v>
      </c>
      <c r="AD121" s="412">
        <v>2.1198900000000001E-3</v>
      </c>
      <c r="AE121" s="402">
        <v>0.92904200000000003</v>
      </c>
    </row>
    <row r="122" spans="1:31" x14ac:dyDescent="0.25">
      <c r="A122" s="415" t="s">
        <v>142</v>
      </c>
      <c r="B122" s="415" t="s">
        <v>143</v>
      </c>
      <c r="C122" s="411" t="s">
        <v>940</v>
      </c>
      <c r="D122" s="423" t="s">
        <v>144</v>
      </c>
      <c r="E122" s="416" t="s">
        <v>2418</v>
      </c>
      <c r="F122" s="415" t="s">
        <v>978</v>
      </c>
      <c r="G122" s="414">
        <v>0.33051999999999998</v>
      </c>
      <c r="H122" s="414">
        <v>-0.222</v>
      </c>
      <c r="I122" s="413">
        <v>4.74E-5</v>
      </c>
      <c r="J122" s="414">
        <v>9.2739999999999993E-3</v>
      </c>
      <c r="K122" s="413">
        <v>0.89500000000000002</v>
      </c>
      <c r="L122" s="409" t="s">
        <v>35</v>
      </c>
      <c r="M122" s="407" t="s">
        <v>35</v>
      </c>
      <c r="N122" s="405" t="s">
        <v>35</v>
      </c>
      <c r="O122" s="404" t="s">
        <v>35</v>
      </c>
      <c r="P122" s="405" t="s">
        <v>35</v>
      </c>
      <c r="Q122" s="408" t="s">
        <v>35</v>
      </c>
      <c r="R122" s="415" t="s">
        <v>2419</v>
      </c>
      <c r="S122" s="415" t="s">
        <v>2420</v>
      </c>
      <c r="T122" s="415" t="s">
        <v>975</v>
      </c>
      <c r="U122" s="414">
        <v>0.31911</v>
      </c>
      <c r="V122" s="414">
        <v>-0.35499999999999998</v>
      </c>
      <c r="W122" s="413">
        <v>1.9200000000000001E-10</v>
      </c>
      <c r="X122" s="406">
        <v>-0.35780000000000001</v>
      </c>
      <c r="Y122" s="413">
        <v>9.4949999999999997E-7</v>
      </c>
      <c r="Z122" s="419">
        <v>0.43089100000000002</v>
      </c>
      <c r="AA122" s="402">
        <v>0.67617700000000003</v>
      </c>
      <c r="AB122" s="414" t="s">
        <v>35</v>
      </c>
      <c r="AC122" s="413" t="s">
        <v>35</v>
      </c>
      <c r="AD122" s="412" t="s">
        <v>35</v>
      </c>
      <c r="AE122" s="402" t="s">
        <v>35</v>
      </c>
    </row>
    <row r="123" spans="1:31" x14ac:dyDescent="0.25">
      <c r="A123" s="415" t="s">
        <v>142</v>
      </c>
      <c r="B123" s="415" t="s">
        <v>143</v>
      </c>
      <c r="C123" s="411" t="s">
        <v>940</v>
      </c>
      <c r="D123" s="423" t="s">
        <v>144</v>
      </c>
      <c r="E123" s="416" t="s">
        <v>2421</v>
      </c>
      <c r="F123" s="415" t="s">
        <v>978</v>
      </c>
      <c r="G123" s="414">
        <v>0.33051999999999998</v>
      </c>
      <c r="H123" s="414">
        <v>0.24399999999999999</v>
      </c>
      <c r="I123" s="413">
        <v>6.9800000000000001E-6</v>
      </c>
      <c r="J123" s="414">
        <v>3.2050000000000002E-2</v>
      </c>
      <c r="K123" s="413">
        <v>0.5202</v>
      </c>
      <c r="L123" s="409" t="s">
        <v>35</v>
      </c>
      <c r="M123" s="407" t="s">
        <v>35</v>
      </c>
      <c r="N123" s="405" t="s">
        <v>35</v>
      </c>
      <c r="O123" s="404" t="s">
        <v>35</v>
      </c>
      <c r="P123" s="405" t="s">
        <v>35</v>
      </c>
      <c r="Q123" s="408" t="s">
        <v>35</v>
      </c>
      <c r="R123" s="415" t="s">
        <v>2422</v>
      </c>
      <c r="S123" s="415" t="s">
        <v>2423</v>
      </c>
      <c r="T123" s="415" t="s">
        <v>974</v>
      </c>
      <c r="U123" s="414">
        <v>0.33123999999999998</v>
      </c>
      <c r="V123" s="414">
        <v>0.73199999999999998</v>
      </c>
      <c r="W123" s="413">
        <v>1.1600000000000001E-47</v>
      </c>
      <c r="X123" s="406">
        <v>0.72250000000000003</v>
      </c>
      <c r="Y123" s="413">
        <v>4.6539999999999996E-43</v>
      </c>
      <c r="Z123" s="419">
        <v>7.7825000000000005E-2</v>
      </c>
      <c r="AA123" s="402">
        <v>0.56423999999999996</v>
      </c>
      <c r="AB123" s="414" t="s">
        <v>35</v>
      </c>
      <c r="AC123" s="413" t="s">
        <v>35</v>
      </c>
      <c r="AD123" s="412" t="s">
        <v>35</v>
      </c>
      <c r="AE123" s="402" t="s">
        <v>35</v>
      </c>
    </row>
    <row r="124" spans="1:31" x14ac:dyDescent="0.25">
      <c r="A124" s="415" t="s">
        <v>142</v>
      </c>
      <c r="B124" s="415" t="s">
        <v>143</v>
      </c>
      <c r="C124" s="411" t="s">
        <v>940</v>
      </c>
      <c r="D124" s="423" t="s">
        <v>144</v>
      </c>
      <c r="E124" s="416" t="s">
        <v>941</v>
      </c>
      <c r="F124" s="415" t="s">
        <v>978</v>
      </c>
      <c r="G124" s="414">
        <v>0.33051999999999998</v>
      </c>
      <c r="H124" s="414">
        <v>0.39800000000000002</v>
      </c>
      <c r="I124" s="413">
        <v>1.42E-13</v>
      </c>
      <c r="J124" s="414">
        <v>0.3846</v>
      </c>
      <c r="K124" s="413">
        <v>7.2509999999999999E-16</v>
      </c>
      <c r="L124" s="409" t="s">
        <v>2424</v>
      </c>
      <c r="M124" s="407" t="s">
        <v>1022</v>
      </c>
      <c r="N124" s="405">
        <v>0.49099999999999999</v>
      </c>
      <c r="O124" s="404">
        <v>3.9799999999999996E-18</v>
      </c>
      <c r="P124" s="405">
        <v>0.41120000000000001</v>
      </c>
      <c r="Q124" s="408">
        <v>5.6709999999999999E-16</v>
      </c>
      <c r="R124" s="415" t="s">
        <v>2425</v>
      </c>
      <c r="S124" s="415" t="s">
        <v>2426</v>
      </c>
      <c r="T124" s="415" t="s">
        <v>975</v>
      </c>
      <c r="U124" s="414">
        <v>0.19825999999999999</v>
      </c>
      <c r="V124" s="414">
        <v>-0.80900000000000005</v>
      </c>
      <c r="W124" s="413">
        <v>3.6599999999999999E-41</v>
      </c>
      <c r="X124" s="406">
        <v>-0.80200000000000005</v>
      </c>
      <c r="Y124" s="413">
        <v>1.6300000000000001E-43</v>
      </c>
      <c r="Z124" s="419">
        <v>3.9982400000000001E-4</v>
      </c>
      <c r="AA124" s="402">
        <v>5.7264900000000001E-2</v>
      </c>
      <c r="AB124" s="414">
        <v>-0.75839999999999996</v>
      </c>
      <c r="AC124" s="413">
        <v>3.3500000000000002E-39</v>
      </c>
      <c r="AD124" s="412">
        <v>1.4274999999999999E-2</v>
      </c>
      <c r="AE124" s="402">
        <v>0.14674499999999999</v>
      </c>
    </row>
    <row r="125" spans="1:31" x14ac:dyDescent="0.25">
      <c r="A125" s="415" t="s">
        <v>145</v>
      </c>
      <c r="B125" s="415" t="s">
        <v>146</v>
      </c>
      <c r="C125" s="411" t="s">
        <v>940</v>
      </c>
      <c r="D125" s="423" t="s">
        <v>147</v>
      </c>
      <c r="E125" s="416" t="s">
        <v>941</v>
      </c>
      <c r="F125" s="415" t="s">
        <v>974</v>
      </c>
      <c r="G125" s="414">
        <v>6.2759999999999996E-2</v>
      </c>
      <c r="H125" s="414">
        <v>0.55800000000000005</v>
      </c>
      <c r="I125" s="413">
        <v>1.3300000000000001E-7</v>
      </c>
      <c r="J125" s="414">
        <v>0.20849999999999999</v>
      </c>
      <c r="K125" s="413">
        <v>3.4520000000000002E-2</v>
      </c>
      <c r="L125" s="409" t="s">
        <v>2424</v>
      </c>
      <c r="M125" s="407" t="s">
        <v>1022</v>
      </c>
      <c r="N125" s="405">
        <v>0.49099999999999999</v>
      </c>
      <c r="O125" s="404">
        <v>3.9799999999999996E-18</v>
      </c>
      <c r="P125" s="405">
        <v>0.41120000000000001</v>
      </c>
      <c r="Q125" s="408">
        <v>5.6709999999999999E-16</v>
      </c>
      <c r="R125" s="415" t="s">
        <v>2425</v>
      </c>
      <c r="S125" s="415" t="s">
        <v>2426</v>
      </c>
      <c r="T125" s="415" t="s">
        <v>975</v>
      </c>
      <c r="U125" s="414">
        <v>0.19825999999999999</v>
      </c>
      <c r="V125" s="414">
        <v>-0.80900000000000005</v>
      </c>
      <c r="W125" s="413">
        <v>3.6599999999999999E-41</v>
      </c>
      <c r="X125" s="406">
        <v>-0.77810000000000001</v>
      </c>
      <c r="Y125" s="413">
        <v>6.2770000000000003E-36</v>
      </c>
      <c r="Z125" s="419">
        <v>7.9621499999999998E-2</v>
      </c>
      <c r="AA125" s="402">
        <v>0.54689500000000002</v>
      </c>
      <c r="AB125" s="414">
        <v>-0.75839999999999996</v>
      </c>
      <c r="AC125" s="413">
        <v>3.3500000000000002E-39</v>
      </c>
      <c r="AD125" s="412">
        <v>1.4274999999999999E-2</v>
      </c>
      <c r="AE125" s="402">
        <v>0.14674499999999999</v>
      </c>
    </row>
    <row r="126" spans="1:31" x14ac:dyDescent="0.25">
      <c r="A126" s="415" t="s">
        <v>148</v>
      </c>
      <c r="B126" s="415" t="s">
        <v>149</v>
      </c>
      <c r="C126" s="411" t="s">
        <v>941</v>
      </c>
      <c r="D126" s="423" t="s">
        <v>150</v>
      </c>
      <c r="E126" s="416" t="s">
        <v>2427</v>
      </c>
      <c r="F126" s="415" t="s">
        <v>2428</v>
      </c>
      <c r="G126" s="414">
        <v>0.26234000000000002</v>
      </c>
      <c r="H126" s="414">
        <v>0.252</v>
      </c>
      <c r="I126" s="413">
        <v>1.03E-5</v>
      </c>
      <c r="J126" s="414">
        <v>2.5350000000000001E-2</v>
      </c>
      <c r="K126" s="413">
        <v>0.56079999999999997</v>
      </c>
      <c r="L126" s="409" t="s">
        <v>2424</v>
      </c>
      <c r="M126" s="407" t="s">
        <v>1022</v>
      </c>
      <c r="N126" s="405">
        <v>0.219</v>
      </c>
      <c r="O126" s="404">
        <v>1.3799999999999999E-4</v>
      </c>
      <c r="P126" s="405">
        <v>1.6160000000000001E-2</v>
      </c>
      <c r="Q126" s="408">
        <v>0.70989999999999998</v>
      </c>
      <c r="R126" s="415" t="s">
        <v>2429</v>
      </c>
      <c r="S126" s="415" t="s">
        <v>2430</v>
      </c>
      <c r="T126" s="415" t="s">
        <v>980</v>
      </c>
      <c r="U126" s="414">
        <v>0.23049</v>
      </c>
      <c r="V126" s="414">
        <v>-1.1200000000000001</v>
      </c>
      <c r="W126" s="413">
        <v>3.4000000000000002E-104</v>
      </c>
      <c r="X126" s="406">
        <v>-1.115</v>
      </c>
      <c r="Y126" s="413">
        <v>9.9860000000000003E-100</v>
      </c>
      <c r="Z126" s="419">
        <v>4.3423200000000002E-2</v>
      </c>
      <c r="AA126" s="402">
        <v>0.63841700000000001</v>
      </c>
      <c r="AB126" s="414">
        <v>-1.1160000000000001</v>
      </c>
      <c r="AC126" s="413">
        <v>1.7509999999999999E-100</v>
      </c>
      <c r="AD126" s="412">
        <v>3.8461700000000001E-2</v>
      </c>
      <c r="AE126" s="402">
        <v>0.58704000000000001</v>
      </c>
    </row>
    <row r="127" spans="1:31" x14ac:dyDescent="0.25">
      <c r="A127" s="415" t="s">
        <v>148</v>
      </c>
      <c r="B127" s="415" t="s">
        <v>149</v>
      </c>
      <c r="C127" s="411" t="s">
        <v>941</v>
      </c>
      <c r="D127" s="423" t="s">
        <v>150</v>
      </c>
      <c r="E127" s="416" t="s">
        <v>2421</v>
      </c>
      <c r="F127" s="415" t="s">
        <v>2428</v>
      </c>
      <c r="G127" s="414">
        <v>0.26234000000000002</v>
      </c>
      <c r="H127" s="414">
        <v>0.24</v>
      </c>
      <c r="I127" s="413">
        <v>2.97E-5</v>
      </c>
      <c r="J127" s="414">
        <v>0.22989999999999999</v>
      </c>
      <c r="K127" s="413">
        <v>4.3590000000000001E-5</v>
      </c>
      <c r="L127" s="409" t="s">
        <v>2424</v>
      </c>
      <c r="M127" s="407" t="s">
        <v>1022</v>
      </c>
      <c r="N127" s="405">
        <v>0.24399999999999999</v>
      </c>
      <c r="O127" s="404">
        <v>2.23E-5</v>
      </c>
      <c r="P127" s="405">
        <v>0.23710000000000001</v>
      </c>
      <c r="Q127" s="408">
        <v>2.5449999999999999E-5</v>
      </c>
      <c r="R127" s="415" t="s">
        <v>2422</v>
      </c>
      <c r="S127" s="415" t="s">
        <v>2423</v>
      </c>
      <c r="T127" s="415" t="s">
        <v>974</v>
      </c>
      <c r="U127" s="414">
        <v>0.33123999999999998</v>
      </c>
      <c r="V127" s="414">
        <v>0.32400000000000001</v>
      </c>
      <c r="W127" s="413">
        <v>1.37E-9</v>
      </c>
      <c r="X127" s="406">
        <v>0.31950000000000001</v>
      </c>
      <c r="Y127" s="413">
        <v>1.7579999999999999E-9</v>
      </c>
      <c r="Z127" s="419">
        <v>6.7036000000000005E-4</v>
      </c>
      <c r="AA127" s="402">
        <v>3.0550500000000001E-2</v>
      </c>
      <c r="AB127" s="414">
        <v>0.31890000000000002</v>
      </c>
      <c r="AC127" s="413">
        <v>1.839E-9</v>
      </c>
      <c r="AD127" s="412">
        <v>2.1714400000000001E-4</v>
      </c>
      <c r="AE127" s="402">
        <v>1.6988300000000001E-2</v>
      </c>
    </row>
    <row r="128" spans="1:31" x14ac:dyDescent="0.25">
      <c r="A128" s="415" t="s">
        <v>148</v>
      </c>
      <c r="B128" s="415" t="s">
        <v>149</v>
      </c>
      <c r="C128" s="411" t="s">
        <v>941</v>
      </c>
      <c r="D128" s="423" t="s">
        <v>150</v>
      </c>
      <c r="E128" s="416" t="s">
        <v>941</v>
      </c>
      <c r="F128" s="415" t="s">
        <v>2428</v>
      </c>
      <c r="G128" s="414">
        <v>0.26234000000000002</v>
      </c>
      <c r="H128" s="414">
        <v>0.47299999999999998</v>
      </c>
      <c r="I128" s="413">
        <v>6.0400000000000005E-17</v>
      </c>
      <c r="J128" s="414">
        <v>0.41170000000000001</v>
      </c>
      <c r="K128" s="413">
        <v>3.7139999999999998E-16</v>
      </c>
      <c r="L128" s="409" t="s">
        <v>2424</v>
      </c>
      <c r="M128" s="407" t="s">
        <v>1022</v>
      </c>
      <c r="N128" s="405">
        <v>0.49099999999999999</v>
      </c>
      <c r="O128" s="404">
        <v>3.9799999999999996E-18</v>
      </c>
      <c r="P128" s="405">
        <v>0.41120000000000001</v>
      </c>
      <c r="Q128" s="408">
        <v>5.6709999999999999E-16</v>
      </c>
      <c r="R128" s="415" t="s">
        <v>2425</v>
      </c>
      <c r="S128" s="415" t="s">
        <v>2426</v>
      </c>
      <c r="T128" s="415" t="s">
        <v>975</v>
      </c>
      <c r="U128" s="414">
        <v>0.19825999999999999</v>
      </c>
      <c r="V128" s="414">
        <v>-0.80900000000000005</v>
      </c>
      <c r="W128" s="413">
        <v>3.6599999999999999E-41</v>
      </c>
      <c r="X128" s="406">
        <v>-0.77070000000000005</v>
      </c>
      <c r="Y128" s="413">
        <v>1.657E-40</v>
      </c>
      <c r="Z128" s="419">
        <v>7.3036200000000003E-3</v>
      </c>
      <c r="AA128" s="402">
        <v>0.10255400000000001</v>
      </c>
      <c r="AB128" s="414">
        <v>-0.75839999999999996</v>
      </c>
      <c r="AC128" s="413">
        <v>3.3500000000000002E-39</v>
      </c>
      <c r="AD128" s="412">
        <v>1.4274999999999999E-2</v>
      </c>
      <c r="AE128" s="402">
        <v>0.14674499999999999</v>
      </c>
    </row>
    <row r="129" spans="1:31" x14ac:dyDescent="0.25">
      <c r="A129" s="415" t="s">
        <v>260</v>
      </c>
      <c r="B129" s="415" t="s">
        <v>261</v>
      </c>
      <c r="C129" s="411" t="s">
        <v>262</v>
      </c>
      <c r="D129" s="509" t="s">
        <v>263</v>
      </c>
      <c r="E129" s="416" t="s">
        <v>2509</v>
      </c>
      <c r="F129" s="415" t="s">
        <v>980</v>
      </c>
      <c r="G129" s="414">
        <v>2.494E-2</v>
      </c>
      <c r="H129" s="414">
        <v>-0.61699999999999999</v>
      </c>
      <c r="I129" s="413">
        <v>1.6100000000000001E-4</v>
      </c>
      <c r="J129" s="414">
        <v>-0.2767</v>
      </c>
      <c r="K129" s="413">
        <v>1.7950000000000001E-2</v>
      </c>
      <c r="L129" s="409" t="s">
        <v>35</v>
      </c>
      <c r="M129" s="407" t="s">
        <v>35</v>
      </c>
      <c r="N129" s="405" t="s">
        <v>35</v>
      </c>
      <c r="O129" s="404" t="s">
        <v>35</v>
      </c>
      <c r="P129" s="405" t="s">
        <v>35</v>
      </c>
      <c r="Q129" s="408" t="s">
        <v>35</v>
      </c>
      <c r="R129" s="415" t="s">
        <v>2510</v>
      </c>
      <c r="S129" s="415" t="s">
        <v>2511</v>
      </c>
      <c r="T129" s="415" t="s">
        <v>2269</v>
      </c>
      <c r="U129" s="414">
        <v>0.20244000000000001</v>
      </c>
      <c r="V129" s="414">
        <v>1.25</v>
      </c>
      <c r="W129" s="413">
        <v>9.7299999999999996E-117</v>
      </c>
      <c r="X129" s="406">
        <v>1.236</v>
      </c>
      <c r="Y129" s="413">
        <v>3.5449999999999998E-114</v>
      </c>
      <c r="Z129" s="419">
        <v>6.60146E-3</v>
      </c>
      <c r="AA129" s="402">
        <v>1</v>
      </c>
      <c r="AB129" s="414" t="s">
        <v>35</v>
      </c>
      <c r="AC129" s="413" t="s">
        <v>35</v>
      </c>
      <c r="AD129" s="412" t="s">
        <v>35</v>
      </c>
      <c r="AE129" s="402" t="s">
        <v>35</v>
      </c>
    </row>
    <row r="130" spans="1:31" x14ac:dyDescent="0.25">
      <c r="A130" s="415" t="s">
        <v>260</v>
      </c>
      <c r="B130" s="415" t="s">
        <v>261</v>
      </c>
      <c r="C130" s="411" t="s">
        <v>262</v>
      </c>
      <c r="D130" s="509" t="s">
        <v>263</v>
      </c>
      <c r="E130" s="416" t="s">
        <v>2512</v>
      </c>
      <c r="F130" s="415" t="s">
        <v>980</v>
      </c>
      <c r="G130" s="414">
        <v>2.494E-2</v>
      </c>
      <c r="H130" s="414">
        <v>0.70699999999999996</v>
      </c>
      <c r="I130" s="413">
        <v>1.52E-5</v>
      </c>
      <c r="J130" s="414">
        <v>-0.1173</v>
      </c>
      <c r="K130" s="413">
        <v>0.51929999999999998</v>
      </c>
      <c r="L130" s="409" t="s">
        <v>35</v>
      </c>
      <c r="M130" s="407" t="s">
        <v>35</v>
      </c>
      <c r="N130" s="405" t="s">
        <v>35</v>
      </c>
      <c r="O130" s="404" t="s">
        <v>35</v>
      </c>
      <c r="P130" s="405" t="s">
        <v>35</v>
      </c>
      <c r="Q130" s="408" t="s">
        <v>35</v>
      </c>
      <c r="R130" s="415" t="s">
        <v>2513</v>
      </c>
      <c r="S130" s="415" t="s">
        <v>2514</v>
      </c>
      <c r="T130" s="415" t="s">
        <v>975</v>
      </c>
      <c r="U130" s="414">
        <v>7.0239999999999997E-2</v>
      </c>
      <c r="V130" s="414">
        <v>0.89700000000000002</v>
      </c>
      <c r="W130" s="413">
        <v>2.6100000000000001E-21</v>
      </c>
      <c r="X130" s="406">
        <v>0.92979999999999996</v>
      </c>
      <c r="Y130" s="413">
        <v>3.2559999999999999E-17</v>
      </c>
      <c r="Z130" s="419">
        <v>0.222053</v>
      </c>
      <c r="AA130" s="402">
        <v>0.79883199999999999</v>
      </c>
      <c r="AB130" s="414" t="s">
        <v>35</v>
      </c>
      <c r="AC130" s="413" t="s">
        <v>35</v>
      </c>
      <c r="AD130" s="412" t="s">
        <v>35</v>
      </c>
      <c r="AE130" s="402" t="s">
        <v>35</v>
      </c>
    </row>
    <row r="131" spans="1:31" x14ac:dyDescent="0.25">
      <c r="A131" s="415"/>
      <c r="B131" s="415"/>
      <c r="C131" s="416"/>
      <c r="D131" s="415"/>
      <c r="E131" s="417"/>
      <c r="F131" s="415"/>
      <c r="G131" s="414"/>
      <c r="H131" s="414"/>
      <c r="I131" s="413"/>
      <c r="J131" s="414"/>
      <c r="K131" s="413"/>
      <c r="L131" s="409"/>
      <c r="M131" s="407"/>
      <c r="N131" s="405"/>
      <c r="O131" s="404"/>
      <c r="P131" s="405"/>
      <c r="Q131" s="408"/>
      <c r="R131" s="415"/>
      <c r="S131" s="415"/>
      <c r="T131" s="415"/>
      <c r="U131" s="414"/>
      <c r="V131" s="414"/>
      <c r="W131" s="413"/>
      <c r="X131" s="406"/>
      <c r="Y131" s="413"/>
      <c r="Z131" s="412"/>
      <c r="AA131" s="402"/>
      <c r="AB131" s="414"/>
      <c r="AC131" s="413"/>
      <c r="AD131" s="412"/>
      <c r="AE131" s="402"/>
    </row>
    <row r="132" spans="1:31" x14ac:dyDescent="0.25">
      <c r="A132" s="418" t="s">
        <v>264</v>
      </c>
      <c r="B132" s="415"/>
      <c r="C132" s="416"/>
      <c r="D132" s="415"/>
      <c r="E132" s="417"/>
      <c r="F132" s="415"/>
      <c r="G132" s="414"/>
      <c r="H132" s="414"/>
      <c r="I132" s="413"/>
      <c r="J132" s="414"/>
      <c r="K132" s="413"/>
      <c r="L132" s="409"/>
      <c r="M132" s="407"/>
      <c r="N132" s="405"/>
      <c r="O132" s="404"/>
      <c r="P132" s="405"/>
      <c r="Q132" s="408"/>
      <c r="R132" s="415"/>
      <c r="S132" s="415"/>
      <c r="T132" s="415"/>
      <c r="U132" s="414"/>
      <c r="V132" s="414"/>
      <c r="W132" s="413"/>
      <c r="X132" s="406"/>
      <c r="Y132" s="413"/>
      <c r="Z132" s="412"/>
      <c r="AA132" s="402"/>
      <c r="AB132" s="414"/>
      <c r="AC132" s="413"/>
      <c r="AD132" s="412"/>
      <c r="AE132" s="402"/>
    </row>
    <row r="133" spans="1:31" x14ac:dyDescent="0.25">
      <c r="A133" s="415" t="s">
        <v>192</v>
      </c>
      <c r="B133" s="415" t="s">
        <v>193</v>
      </c>
      <c r="C133" s="411" t="s">
        <v>265</v>
      </c>
      <c r="D133" s="509" t="s">
        <v>194</v>
      </c>
      <c r="E133" s="416" t="s">
        <v>2476</v>
      </c>
      <c r="F133" s="415" t="s">
        <v>974</v>
      </c>
      <c r="G133" s="414">
        <v>0.42662</v>
      </c>
      <c r="H133" s="414">
        <v>0.224</v>
      </c>
      <c r="I133" s="413">
        <v>1.2099999999999999E-5</v>
      </c>
      <c r="J133" s="414">
        <v>4.2029999999999998E-2</v>
      </c>
      <c r="K133" s="413">
        <v>0.44479999999999997</v>
      </c>
      <c r="L133" s="409" t="s">
        <v>2477</v>
      </c>
      <c r="M133" s="407" t="s">
        <v>195</v>
      </c>
      <c r="N133" s="405">
        <v>-0.20300000000000001</v>
      </c>
      <c r="O133" s="404">
        <v>6.3E-5</v>
      </c>
      <c r="P133" s="405">
        <v>-4.0219999999999999E-2</v>
      </c>
      <c r="Q133" s="408">
        <v>0.45019999999999999</v>
      </c>
      <c r="R133" s="415" t="s">
        <v>2478</v>
      </c>
      <c r="S133" s="415" t="s">
        <v>2479</v>
      </c>
      <c r="T133" s="415" t="s">
        <v>980</v>
      </c>
      <c r="U133" s="414">
        <v>0.23774999999999999</v>
      </c>
      <c r="V133" s="414">
        <v>-0.501</v>
      </c>
      <c r="W133" s="413">
        <v>3.9200000000000001E-17</v>
      </c>
      <c r="X133" s="406">
        <v>-0.47810000000000002</v>
      </c>
      <c r="Y133" s="413">
        <v>5.0229999999999999E-13</v>
      </c>
      <c r="Z133" s="412">
        <v>0.205897</v>
      </c>
      <c r="AA133" s="402">
        <v>0.70100399999999996</v>
      </c>
      <c r="AB133" s="414">
        <v>-0.4803</v>
      </c>
      <c r="AC133" s="413">
        <v>1.1259999999999999E-13</v>
      </c>
      <c r="AD133" s="412">
        <v>0.15958</v>
      </c>
      <c r="AE133" s="402">
        <v>0.594495</v>
      </c>
    </row>
    <row r="134" spans="1:31" x14ac:dyDescent="0.25">
      <c r="A134" s="407" t="s">
        <v>192</v>
      </c>
      <c r="B134" s="407" t="s">
        <v>193</v>
      </c>
      <c r="C134" s="411" t="s">
        <v>265</v>
      </c>
      <c r="D134" s="509" t="s">
        <v>194</v>
      </c>
      <c r="E134" s="410" t="s">
        <v>2480</v>
      </c>
      <c r="F134" s="407" t="s">
        <v>974</v>
      </c>
      <c r="G134" s="405">
        <v>0.42662</v>
      </c>
      <c r="H134" s="405">
        <v>0.245</v>
      </c>
      <c r="I134" s="404">
        <v>1.77E-6</v>
      </c>
      <c r="J134" s="405">
        <v>8.2739999999999994E-2</v>
      </c>
      <c r="K134" s="404">
        <v>0.10920000000000001</v>
      </c>
      <c r="L134" s="409" t="s">
        <v>2477</v>
      </c>
      <c r="M134" s="407" t="s">
        <v>195</v>
      </c>
      <c r="N134" s="405">
        <v>-0.219</v>
      </c>
      <c r="O134" s="404">
        <v>1.66E-5</v>
      </c>
      <c r="P134" s="405">
        <v>-4.7750000000000001E-2</v>
      </c>
      <c r="Q134" s="408">
        <v>0.35510000000000003</v>
      </c>
      <c r="R134" s="407" t="s">
        <v>2481</v>
      </c>
      <c r="S134" s="407" t="s">
        <v>2482</v>
      </c>
      <c r="T134" s="407" t="s">
        <v>975</v>
      </c>
      <c r="U134" s="405">
        <v>0.26588000000000001</v>
      </c>
      <c r="V134" s="405">
        <v>-0.53600000000000003</v>
      </c>
      <c r="W134" s="404">
        <v>5.0899999999999996E-22</v>
      </c>
      <c r="X134" s="406">
        <v>-0.50470000000000004</v>
      </c>
      <c r="Y134" s="404">
        <v>8.2170000000000003E-18</v>
      </c>
      <c r="Z134" s="403">
        <v>0.10233200000000001</v>
      </c>
      <c r="AA134" s="402">
        <v>0.45885799999999999</v>
      </c>
      <c r="AB134" s="405">
        <v>-0.51390000000000002</v>
      </c>
      <c r="AC134" s="404">
        <v>4.0640000000000001E-18</v>
      </c>
      <c r="AD134" s="403">
        <v>0.115354</v>
      </c>
      <c r="AE134" s="402">
        <v>0.46930100000000002</v>
      </c>
    </row>
    <row r="135" spans="1:31" x14ac:dyDescent="0.25">
      <c r="A135" s="407" t="s">
        <v>192</v>
      </c>
      <c r="B135" s="407" t="s">
        <v>193</v>
      </c>
      <c r="C135" s="411" t="s">
        <v>265</v>
      </c>
      <c r="D135" s="509" t="s">
        <v>194</v>
      </c>
      <c r="E135" s="410" t="s">
        <v>2483</v>
      </c>
      <c r="F135" s="407" t="s">
        <v>974</v>
      </c>
      <c r="G135" s="405">
        <v>0.42662</v>
      </c>
      <c r="H135" s="405">
        <v>-0.23499999999999999</v>
      </c>
      <c r="I135" s="404">
        <v>4.4499999999999997E-6</v>
      </c>
      <c r="J135" s="405">
        <v>-2.163E-2</v>
      </c>
      <c r="K135" s="404">
        <v>0.65290000000000004</v>
      </c>
      <c r="L135" s="409" t="s">
        <v>2477</v>
      </c>
      <c r="M135" s="407" t="s">
        <v>195</v>
      </c>
      <c r="N135" s="405">
        <v>0.247</v>
      </c>
      <c r="O135" s="404">
        <v>1.1599999999999999E-6</v>
      </c>
      <c r="P135" s="405">
        <v>2.7019999999999999E-2</v>
      </c>
      <c r="Q135" s="408">
        <v>0.57330000000000003</v>
      </c>
      <c r="R135" s="407" t="s">
        <v>2484</v>
      </c>
      <c r="S135" s="407" t="s">
        <v>2485</v>
      </c>
      <c r="T135" s="407" t="s">
        <v>980</v>
      </c>
      <c r="U135" s="405">
        <v>0.23100000000000001</v>
      </c>
      <c r="V135" s="405">
        <v>0.79700000000000004</v>
      </c>
      <c r="W135" s="404">
        <v>1.8299999999999999E-43</v>
      </c>
      <c r="X135" s="406">
        <v>0.78639999999999999</v>
      </c>
      <c r="Y135" s="404">
        <v>1.414E-38</v>
      </c>
      <c r="Z135" s="403">
        <v>0.109044</v>
      </c>
      <c r="AA135" s="402">
        <v>0.51946300000000001</v>
      </c>
      <c r="AB135" s="405">
        <v>0.78620000000000001</v>
      </c>
      <c r="AC135" s="404">
        <v>5.2440000000000003E-38</v>
      </c>
      <c r="AD135" s="403">
        <v>0.113651</v>
      </c>
      <c r="AE135" s="402">
        <v>0.51086299999999996</v>
      </c>
    </row>
    <row r="136" spans="1:31" x14ac:dyDescent="0.25">
      <c r="A136" s="407" t="s">
        <v>192</v>
      </c>
      <c r="B136" s="407" t="s">
        <v>193</v>
      </c>
      <c r="C136" s="411" t="s">
        <v>265</v>
      </c>
      <c r="D136" s="509" t="s">
        <v>194</v>
      </c>
      <c r="E136" s="410" t="s">
        <v>2486</v>
      </c>
      <c r="F136" s="407" t="s">
        <v>974</v>
      </c>
      <c r="G136" s="405">
        <v>0.42662</v>
      </c>
      <c r="H136" s="405">
        <v>0.21299999999999999</v>
      </c>
      <c r="I136" s="404">
        <v>3.1300000000000002E-5</v>
      </c>
      <c r="J136" s="405">
        <v>0.18540000000000001</v>
      </c>
      <c r="K136" s="404">
        <v>2.7099999999999999E-6</v>
      </c>
      <c r="L136" s="409" t="s">
        <v>2477</v>
      </c>
      <c r="M136" s="407" t="s">
        <v>195</v>
      </c>
      <c r="N136" s="405">
        <v>-0.21</v>
      </c>
      <c r="O136" s="404">
        <v>3.6600000000000002E-5</v>
      </c>
      <c r="P136" s="405">
        <v>-0.16020000000000001</v>
      </c>
      <c r="Q136" s="408">
        <v>4.7320000000000001E-5</v>
      </c>
      <c r="R136" s="407" t="s">
        <v>2487</v>
      </c>
      <c r="S136" s="407" t="s">
        <v>2488</v>
      </c>
      <c r="T136" s="407" t="s">
        <v>972</v>
      </c>
      <c r="U136" s="405">
        <v>0.15328</v>
      </c>
      <c r="V136" s="405">
        <v>-1.23</v>
      </c>
      <c r="W136" s="404">
        <v>4.5900000000000003E-87</v>
      </c>
      <c r="X136" s="406">
        <v>-1.2190000000000001</v>
      </c>
      <c r="Y136" s="404">
        <v>9.9590000000000002E-88</v>
      </c>
      <c r="Z136" s="403">
        <v>1.1428E-3</v>
      </c>
      <c r="AA136" s="402">
        <v>6.8543999999999994E-2</v>
      </c>
      <c r="AB136" s="405">
        <v>-1.2210000000000001</v>
      </c>
      <c r="AC136" s="404">
        <v>8.9729999999999995E-87</v>
      </c>
      <c r="AD136" s="403">
        <v>3.2752300000000001E-3</v>
      </c>
      <c r="AE136" s="402">
        <v>0.11178200000000001</v>
      </c>
    </row>
    <row r="137" spans="1:31" x14ac:dyDescent="0.25">
      <c r="A137" s="407" t="s">
        <v>192</v>
      </c>
      <c r="B137" s="407" t="s">
        <v>193</v>
      </c>
      <c r="C137" s="411" t="s">
        <v>265</v>
      </c>
      <c r="D137" s="509" t="s">
        <v>194</v>
      </c>
      <c r="E137" s="410" t="s">
        <v>2489</v>
      </c>
      <c r="F137" s="407" t="s">
        <v>974</v>
      </c>
      <c r="G137" s="405">
        <v>0.42662</v>
      </c>
      <c r="H137" s="405">
        <v>0.19600000000000001</v>
      </c>
      <c r="I137" s="404">
        <v>1.26E-4</v>
      </c>
      <c r="J137" s="405">
        <v>-4.8349999999999999E-3</v>
      </c>
      <c r="K137" s="404">
        <v>0.90159999999999996</v>
      </c>
      <c r="L137" s="409" t="s">
        <v>2477</v>
      </c>
      <c r="M137" s="407" t="s">
        <v>195</v>
      </c>
      <c r="N137" s="405">
        <v>-0.19600000000000001</v>
      </c>
      <c r="O137" s="404">
        <v>1.11E-4</v>
      </c>
      <c r="P137" s="405">
        <v>5.6309999999999997E-3</v>
      </c>
      <c r="Q137" s="408">
        <v>0.88470000000000004</v>
      </c>
      <c r="R137" s="407" t="s">
        <v>2490</v>
      </c>
      <c r="S137" s="407" t="s">
        <v>2491</v>
      </c>
      <c r="T137" s="407" t="s">
        <v>980</v>
      </c>
      <c r="U137" s="405">
        <v>8.7099999999999997E-2</v>
      </c>
      <c r="V137" s="405">
        <v>-1.69</v>
      </c>
      <c r="W137" s="404">
        <v>1.0399999999999999E-101</v>
      </c>
      <c r="X137" s="406">
        <v>-1.696</v>
      </c>
      <c r="Y137" s="404">
        <v>1.8530000000000002E-98</v>
      </c>
      <c r="Z137" s="403">
        <v>4.4569999999999999E-2</v>
      </c>
      <c r="AA137" s="402">
        <v>0.58987999999999996</v>
      </c>
      <c r="AB137" s="405">
        <v>-1.6990000000000001</v>
      </c>
      <c r="AC137" s="404">
        <v>2.6619999999999999E-98</v>
      </c>
      <c r="AD137" s="403">
        <v>4.3687400000000001E-2</v>
      </c>
      <c r="AE137" s="402">
        <v>0.56257999999999997</v>
      </c>
    </row>
    <row r="138" spans="1:31" ht="17.25" x14ac:dyDescent="0.25">
      <c r="A138" s="398" t="s">
        <v>2515</v>
      </c>
      <c r="B138" s="398" t="s">
        <v>193</v>
      </c>
      <c r="C138" s="401" t="s">
        <v>265</v>
      </c>
      <c r="D138" s="514" t="s">
        <v>194</v>
      </c>
      <c r="E138" s="400" t="s">
        <v>265</v>
      </c>
      <c r="F138" s="398" t="s">
        <v>974</v>
      </c>
      <c r="G138" s="396">
        <v>0.42662</v>
      </c>
      <c r="H138" s="396">
        <v>0.313</v>
      </c>
      <c r="I138" s="395">
        <v>7.5199999999999999E-10</v>
      </c>
      <c r="J138" s="396">
        <v>5.3109999999999997E-2</v>
      </c>
      <c r="K138" s="395">
        <v>0.70920000000000005</v>
      </c>
      <c r="L138" s="837" t="s">
        <v>2477</v>
      </c>
      <c r="M138" s="398" t="s">
        <v>195</v>
      </c>
      <c r="N138" s="396">
        <v>-0.28100000000000003</v>
      </c>
      <c r="O138" s="395">
        <v>2.6300000000000001E-8</v>
      </c>
      <c r="P138" s="396">
        <v>5.4339999999999999E-2</v>
      </c>
      <c r="Q138" s="399">
        <v>0.63160000000000005</v>
      </c>
      <c r="R138" s="398" t="s">
        <v>2492</v>
      </c>
      <c r="S138" s="398" t="s">
        <v>2493</v>
      </c>
      <c r="T138" s="398" t="s">
        <v>974</v>
      </c>
      <c r="U138" s="396">
        <v>0.45907999999999999</v>
      </c>
      <c r="V138" s="396">
        <v>-0.32400000000000001</v>
      </c>
      <c r="W138" s="395">
        <v>1.28E-10</v>
      </c>
      <c r="X138" s="397">
        <v>-0.28110000000000002</v>
      </c>
      <c r="Y138" s="395">
        <v>4.6870000000000002E-2</v>
      </c>
      <c r="Z138" s="394">
        <v>0.87665800000000005</v>
      </c>
      <c r="AA138" s="393">
        <v>1</v>
      </c>
      <c r="AB138" s="396">
        <v>-0.37690000000000001</v>
      </c>
      <c r="AC138" s="395">
        <v>9.477E-4</v>
      </c>
      <c r="AD138" s="394">
        <v>0.80345500000000003</v>
      </c>
      <c r="AE138" s="393">
        <v>0.99380599999999997</v>
      </c>
    </row>
    <row r="139" spans="1:31" x14ac:dyDescent="0.25">
      <c r="A139" s="354" t="s">
        <v>2516</v>
      </c>
      <c r="B139" s="390"/>
      <c r="C139" s="392"/>
      <c r="D139" s="428"/>
      <c r="E139" s="391"/>
      <c r="F139" s="390"/>
      <c r="G139" s="389"/>
      <c r="H139" s="389"/>
      <c r="I139" s="388"/>
      <c r="J139" s="389"/>
      <c r="K139" s="388"/>
      <c r="L139" s="390"/>
      <c r="M139" s="390"/>
      <c r="N139" s="389"/>
      <c r="O139" s="388"/>
      <c r="P139" s="389"/>
      <c r="Q139" s="388"/>
      <c r="R139" s="390"/>
      <c r="S139" s="390"/>
      <c r="T139" s="390"/>
      <c r="U139" s="389"/>
      <c r="V139" s="389"/>
      <c r="W139" s="388"/>
      <c r="X139" s="389"/>
      <c r="Y139" s="388"/>
      <c r="Z139" s="387"/>
      <c r="AA139" s="386"/>
      <c r="AB139" s="389"/>
      <c r="AC139" s="388"/>
      <c r="AD139" s="387"/>
      <c r="AE139" s="386"/>
    </row>
    <row r="140" spans="1:31" ht="17.25" x14ac:dyDescent="0.25">
      <c r="A140" s="515" t="s">
        <v>2517</v>
      </c>
      <c r="B140" s="516"/>
      <c r="C140" s="516"/>
      <c r="D140" s="516"/>
      <c r="E140" s="516"/>
      <c r="F140" s="516"/>
      <c r="G140" s="516"/>
      <c r="H140" s="516"/>
      <c r="I140" s="516"/>
      <c r="J140" s="516"/>
      <c r="K140" s="516"/>
      <c r="L140" s="516"/>
      <c r="M140" s="516"/>
      <c r="N140" s="516"/>
      <c r="O140" s="516"/>
      <c r="P140" s="516"/>
      <c r="Q140" s="516"/>
      <c r="R140" s="516"/>
      <c r="S140" s="516"/>
      <c r="T140" s="516"/>
    </row>
    <row r="141" spans="1:31" x14ac:dyDescent="0.25">
      <c r="A141" s="516" t="s">
        <v>5560</v>
      </c>
    </row>
    <row r="142" spans="1:31" x14ac:dyDescent="0.25">
      <c r="A142" s="471" t="s">
        <v>227</v>
      </c>
    </row>
    <row r="143" spans="1:31" x14ac:dyDescent="0.25">
      <c r="A143" s="170" t="s">
        <v>228</v>
      </c>
    </row>
    <row r="144" spans="1:31" x14ac:dyDescent="0.25">
      <c r="A144" s="516" t="s">
        <v>2518</v>
      </c>
      <c r="B144" s="515"/>
      <c r="C144" s="515"/>
      <c r="D144" s="515"/>
      <c r="E144" s="515"/>
      <c r="F144" s="515"/>
      <c r="G144" s="515"/>
      <c r="H144" s="515"/>
      <c r="I144" s="515"/>
      <c r="J144" s="515"/>
      <c r="K144" s="515"/>
      <c r="L144" s="515"/>
      <c r="M144" s="515"/>
      <c r="N144" s="515"/>
      <c r="O144" s="515"/>
      <c r="P144" s="515"/>
      <c r="Q144" s="515"/>
      <c r="R144" s="515"/>
      <c r="S144" s="515"/>
      <c r="T144" s="515"/>
    </row>
    <row r="145" spans="1:20" x14ac:dyDescent="0.25">
      <c r="A145" s="517" t="s">
        <v>2519</v>
      </c>
      <c r="B145" s="515"/>
      <c r="C145" s="515"/>
      <c r="D145" s="515"/>
      <c r="E145" s="515"/>
      <c r="F145" s="515"/>
      <c r="G145" s="515"/>
      <c r="H145" s="515"/>
      <c r="I145" s="515"/>
      <c r="J145" s="515"/>
      <c r="K145" s="515"/>
      <c r="L145" s="515"/>
      <c r="M145" s="515"/>
      <c r="N145" s="515"/>
      <c r="O145" s="515"/>
      <c r="P145" s="515"/>
      <c r="Q145" s="515"/>
      <c r="R145" s="515"/>
      <c r="S145" s="515"/>
      <c r="T145" s="515"/>
    </row>
    <row r="146" spans="1:20" x14ac:dyDescent="0.25">
      <c r="A146" s="517" t="s">
        <v>2520</v>
      </c>
      <c r="B146" s="515"/>
      <c r="C146" s="515"/>
      <c r="D146" s="515"/>
      <c r="E146" s="515"/>
      <c r="F146" s="515"/>
      <c r="G146" s="515"/>
      <c r="H146" s="515"/>
      <c r="I146" s="515"/>
      <c r="J146" s="515"/>
      <c r="K146" s="515"/>
      <c r="L146" s="515"/>
      <c r="M146" s="515"/>
      <c r="N146" s="515"/>
      <c r="O146" s="515"/>
      <c r="P146" s="515"/>
      <c r="Q146" s="515"/>
      <c r="R146" s="515"/>
      <c r="S146" s="515"/>
      <c r="T146" s="515"/>
    </row>
    <row r="147" spans="1:20" x14ac:dyDescent="0.25">
      <c r="A147" s="517" t="s">
        <v>2521</v>
      </c>
      <c r="B147" s="515"/>
      <c r="C147" s="515"/>
      <c r="D147" s="515"/>
      <c r="E147" s="515"/>
      <c r="F147" s="515"/>
      <c r="G147" s="515"/>
      <c r="H147" s="515"/>
      <c r="I147" s="515"/>
      <c r="J147" s="515"/>
      <c r="K147" s="515"/>
      <c r="L147" s="515"/>
      <c r="M147" s="515"/>
      <c r="N147" s="515"/>
      <c r="O147" s="515"/>
      <c r="P147" s="515"/>
      <c r="Q147" s="515"/>
      <c r="R147" s="515"/>
      <c r="S147" s="515"/>
      <c r="T147" s="515"/>
    </row>
    <row r="148" spans="1:20" x14ac:dyDescent="0.25">
      <c r="A148" s="517" t="s">
        <v>2522</v>
      </c>
      <c r="B148" s="515"/>
      <c r="C148" s="515"/>
      <c r="D148" s="515"/>
      <c r="E148" s="515"/>
      <c r="F148" s="515"/>
      <c r="G148" s="515"/>
      <c r="H148" s="515"/>
      <c r="I148" s="515"/>
      <c r="J148" s="515"/>
      <c r="K148" s="515"/>
      <c r="L148" s="515"/>
      <c r="M148" s="515"/>
      <c r="N148" s="515"/>
      <c r="O148" s="515"/>
      <c r="P148" s="515"/>
      <c r="Q148" s="515"/>
      <c r="R148" s="515"/>
      <c r="S148" s="515"/>
      <c r="T148" s="515"/>
    </row>
    <row r="149" spans="1:20" x14ac:dyDescent="0.25">
      <c r="A149" s="517" t="s">
        <v>2523</v>
      </c>
    </row>
    <row r="150" spans="1:20" x14ac:dyDescent="0.25">
      <c r="A150" s="515"/>
    </row>
    <row r="151" spans="1:20" x14ac:dyDescent="0.25">
      <c r="A151" s="518"/>
    </row>
    <row r="152" spans="1:20" x14ac:dyDescent="0.25">
      <c r="A152" s="518"/>
    </row>
    <row r="153" spans="1:20" x14ac:dyDescent="0.25">
      <c r="A153" s="518"/>
    </row>
    <row r="154" spans="1:20" x14ac:dyDescent="0.25">
      <c r="A154" s="518"/>
    </row>
  </sheetData>
  <mergeCells count="9">
    <mergeCell ref="AD2:AE2"/>
    <mergeCell ref="Z3:AA3"/>
    <mergeCell ref="AD3:AE3"/>
    <mergeCell ref="A2:K3"/>
    <mergeCell ref="L2:Q3"/>
    <mergeCell ref="R2:W3"/>
    <mergeCell ref="X2:Y3"/>
    <mergeCell ref="Z2:AA2"/>
    <mergeCell ref="AB2:AC3"/>
  </mergeCells>
  <phoneticPr fontId="101" type="noConversion"/>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123"/>
  <sheetViews>
    <sheetView workbookViewId="0">
      <pane ySplit="2" topLeftCell="A3" activePane="bottomLeft" state="frozen"/>
      <selection activeCell="A114" sqref="A114:XFD117"/>
      <selection pane="bottomLeft" activeCell="D8" sqref="D8"/>
    </sheetView>
  </sheetViews>
  <sheetFormatPr defaultColWidth="9.140625" defaultRowHeight="15" x14ac:dyDescent="0.25"/>
  <cols>
    <col min="1" max="1" width="12.42578125" style="554" customWidth="1"/>
    <col min="2" max="2" width="10.42578125" style="470" customWidth="1"/>
    <col min="3" max="3" width="10.28515625" style="528" customWidth="1"/>
    <col min="4" max="4" width="4.42578125" style="470" customWidth="1"/>
    <col min="5" max="5" width="11.28515625" style="470" customWidth="1"/>
    <col min="6" max="6" width="9.7109375" style="470" customWidth="1"/>
    <col min="7" max="7" width="8.28515625" style="470" customWidth="1"/>
    <col min="8" max="8" width="9.42578125" style="470" customWidth="1"/>
    <col min="9" max="9" width="26.85546875" style="470" bestFit="1" customWidth="1"/>
    <col min="10" max="10" width="11.42578125" style="520" customWidth="1"/>
    <col min="11" max="11" width="12.42578125" style="519" customWidth="1"/>
    <col min="12" max="12" width="9.140625" style="470" customWidth="1"/>
    <col min="13" max="13" width="7.140625" style="470" customWidth="1"/>
    <col min="14" max="14" width="8.42578125" style="521" customWidth="1"/>
    <col min="15" max="15" width="7.28515625" style="522" customWidth="1"/>
    <col min="16" max="16" width="7.28515625" style="470" customWidth="1"/>
    <col min="17" max="16384" width="9.140625" style="470"/>
  </cols>
  <sheetData>
    <row r="1" spans="1:16" s="471" customFormat="1" ht="33.6" customHeight="1" thickBot="1" x14ac:dyDescent="0.3">
      <c r="A1" s="1120" t="s">
        <v>5905</v>
      </c>
      <c r="I1" s="927"/>
      <c r="J1" s="928"/>
      <c r="L1" s="929"/>
      <c r="M1" s="930"/>
    </row>
    <row r="2" spans="1:16" ht="49.5" customHeight="1" x14ac:dyDescent="0.25">
      <c r="A2" s="523" t="s">
        <v>2524</v>
      </c>
      <c r="B2" s="524" t="s">
        <v>3</v>
      </c>
      <c r="C2" s="463" t="s">
        <v>968</v>
      </c>
      <c r="D2" s="463" t="s">
        <v>2525</v>
      </c>
      <c r="E2" s="469" t="s">
        <v>2297</v>
      </c>
      <c r="F2" s="469" t="s">
        <v>2526</v>
      </c>
      <c r="G2" s="468" t="s">
        <v>2527</v>
      </c>
      <c r="H2" s="468" t="s">
        <v>2528</v>
      </c>
      <c r="I2" s="467" t="s">
        <v>2529</v>
      </c>
      <c r="J2" s="525" t="s">
        <v>2530</v>
      </c>
      <c r="K2" s="466" t="s">
        <v>2531</v>
      </c>
      <c r="L2" s="463" t="s">
        <v>2532</v>
      </c>
      <c r="M2" s="463" t="s">
        <v>2533</v>
      </c>
      <c r="N2" s="465" t="s">
        <v>2534</v>
      </c>
      <c r="O2" s="464" t="s">
        <v>2535</v>
      </c>
      <c r="P2" s="463" t="s">
        <v>2536</v>
      </c>
    </row>
    <row r="3" spans="1:16" x14ac:dyDescent="0.25">
      <c r="A3" s="526" t="s">
        <v>256</v>
      </c>
      <c r="B3" s="113" t="s">
        <v>257</v>
      </c>
      <c r="C3" s="448" t="s">
        <v>258</v>
      </c>
      <c r="D3" s="113" t="s">
        <v>975</v>
      </c>
      <c r="E3" s="448" t="s">
        <v>2537</v>
      </c>
      <c r="F3" s="113">
        <v>-0.18281900000000001</v>
      </c>
      <c r="G3" s="114">
        <v>1.5999999999999999E-5</v>
      </c>
      <c r="H3" s="114">
        <v>6.2500000000000001E-5</v>
      </c>
      <c r="I3" s="113" t="s">
        <v>2538</v>
      </c>
      <c r="J3" s="527" t="s">
        <v>2539</v>
      </c>
      <c r="K3" s="447" t="s">
        <v>2540</v>
      </c>
      <c r="L3" s="113" t="s">
        <v>983</v>
      </c>
      <c r="M3" s="444">
        <v>-0.17</v>
      </c>
      <c r="N3" s="442">
        <v>1.3E-7</v>
      </c>
      <c r="O3" s="445">
        <v>0.65</v>
      </c>
      <c r="P3" s="113">
        <v>0.99</v>
      </c>
    </row>
    <row r="4" spans="1:16" x14ac:dyDescent="0.25">
      <c r="A4" s="526" t="s">
        <v>46</v>
      </c>
      <c r="B4" s="528" t="s">
        <v>47</v>
      </c>
      <c r="C4" s="37" t="s">
        <v>48</v>
      </c>
      <c r="D4" s="113" t="s">
        <v>980</v>
      </c>
      <c r="E4" s="37" t="s">
        <v>2541</v>
      </c>
      <c r="F4" s="528">
        <v>0.249692</v>
      </c>
      <c r="G4" s="529">
        <v>3.4E-5</v>
      </c>
      <c r="H4" s="529">
        <v>1.73945E-4</v>
      </c>
      <c r="I4" s="528" t="s">
        <v>2542</v>
      </c>
      <c r="J4" s="527" t="s">
        <v>2543</v>
      </c>
      <c r="K4" s="447" t="s">
        <v>2544</v>
      </c>
      <c r="L4" s="113" t="s">
        <v>978</v>
      </c>
      <c r="M4" s="444">
        <v>-0.28000000000000003</v>
      </c>
      <c r="N4" s="442">
        <v>6.7999999999999997E-9</v>
      </c>
      <c r="O4" s="530">
        <v>0.26</v>
      </c>
      <c r="P4" s="528">
        <v>0.73</v>
      </c>
    </row>
    <row r="5" spans="1:16" x14ac:dyDescent="0.25">
      <c r="A5" s="526" t="s">
        <v>46</v>
      </c>
      <c r="B5" s="528" t="s">
        <v>47</v>
      </c>
      <c r="C5" s="37" t="s">
        <v>48</v>
      </c>
      <c r="D5" s="113" t="s">
        <v>980</v>
      </c>
      <c r="E5" s="37" t="s">
        <v>48</v>
      </c>
      <c r="F5" s="528">
        <v>-0.212616</v>
      </c>
      <c r="G5" s="529">
        <v>1.37E-8</v>
      </c>
      <c r="H5" s="529">
        <v>2.3851800000000001E-4</v>
      </c>
      <c r="I5" s="528" t="s">
        <v>2538</v>
      </c>
      <c r="J5" s="527" t="s">
        <v>2545</v>
      </c>
      <c r="K5" s="447" t="s">
        <v>2546</v>
      </c>
      <c r="L5" s="113" t="s">
        <v>2428</v>
      </c>
      <c r="M5" s="444">
        <v>-0.25</v>
      </c>
      <c r="N5" s="442">
        <v>3.3999999999999998E-9</v>
      </c>
      <c r="O5" s="530">
        <v>0.74</v>
      </c>
      <c r="P5" s="528">
        <v>0.98</v>
      </c>
    </row>
    <row r="6" spans="1:16" x14ac:dyDescent="0.25">
      <c r="A6" s="526" t="s">
        <v>46</v>
      </c>
      <c r="B6" s="528" t="s">
        <v>47</v>
      </c>
      <c r="C6" s="37" t="s">
        <v>48</v>
      </c>
      <c r="D6" s="113" t="s">
        <v>980</v>
      </c>
      <c r="E6" s="37" t="s">
        <v>2547</v>
      </c>
      <c r="F6" s="528">
        <v>-0.20872199999999999</v>
      </c>
      <c r="G6" s="529">
        <v>1.7099999999999999E-5</v>
      </c>
      <c r="H6" s="529">
        <v>2.2140500000000001E-4</v>
      </c>
      <c r="I6" s="528" t="s">
        <v>2538</v>
      </c>
      <c r="J6" s="527" t="s">
        <v>2548</v>
      </c>
      <c r="K6" s="447" t="s">
        <v>2549</v>
      </c>
      <c r="L6" s="113" t="s">
        <v>975</v>
      </c>
      <c r="M6" s="444">
        <v>0.39</v>
      </c>
      <c r="N6" s="442">
        <v>2.8999999999999998E-10</v>
      </c>
      <c r="O6" s="530">
        <v>0.13</v>
      </c>
      <c r="P6" s="528">
        <v>0.37</v>
      </c>
    </row>
    <row r="7" spans="1:16" s="28" customFormat="1" x14ac:dyDescent="0.25">
      <c r="A7" s="531" t="s">
        <v>46</v>
      </c>
      <c r="B7" s="831" t="s">
        <v>47</v>
      </c>
      <c r="C7" s="441" t="s">
        <v>48</v>
      </c>
      <c r="D7" s="454" t="s">
        <v>980</v>
      </c>
      <c r="E7" s="441" t="s">
        <v>2330</v>
      </c>
      <c r="F7" s="831">
        <v>0.240262</v>
      </c>
      <c r="G7" s="440">
        <v>1.2400000000000001E-9</v>
      </c>
      <c r="H7" s="440">
        <v>2.22055E-4</v>
      </c>
      <c r="I7" s="831" t="s">
        <v>2538</v>
      </c>
      <c r="J7" s="811" t="s">
        <v>2550</v>
      </c>
      <c r="K7" s="458" t="s">
        <v>2551</v>
      </c>
      <c r="L7" s="454" t="s">
        <v>975</v>
      </c>
      <c r="M7" s="439">
        <v>0.26</v>
      </c>
      <c r="N7" s="438">
        <v>2.0999999999999999E-11</v>
      </c>
      <c r="O7" s="437">
        <v>0.91</v>
      </c>
      <c r="P7" s="831">
        <v>0.99</v>
      </c>
    </row>
    <row r="8" spans="1:16" x14ac:dyDescent="0.25">
      <c r="A8" s="526" t="s">
        <v>50</v>
      </c>
      <c r="B8" s="528" t="s">
        <v>51</v>
      </c>
      <c r="C8" s="37" t="s">
        <v>915</v>
      </c>
      <c r="D8" s="113" t="s">
        <v>978</v>
      </c>
      <c r="E8" s="37" t="s">
        <v>2346</v>
      </c>
      <c r="F8" s="528">
        <v>0.17810000000000001</v>
      </c>
      <c r="G8" s="529">
        <v>1.9300000000000002E-5</v>
      </c>
      <c r="H8" s="529">
        <v>1.3944399999999999E-4</v>
      </c>
      <c r="I8" s="528" t="s">
        <v>2552</v>
      </c>
      <c r="J8" s="527" t="s">
        <v>2553</v>
      </c>
      <c r="K8" s="447" t="s">
        <v>2554</v>
      </c>
      <c r="L8" s="113" t="s">
        <v>980</v>
      </c>
      <c r="M8" s="443">
        <v>0.38</v>
      </c>
      <c r="N8" s="442">
        <v>1.2E-16</v>
      </c>
      <c r="O8" s="530">
        <v>0.23</v>
      </c>
      <c r="P8" s="528">
        <v>0.93</v>
      </c>
    </row>
    <row r="9" spans="1:16" s="28" customFormat="1" x14ac:dyDescent="0.25">
      <c r="A9" s="531" t="s">
        <v>50</v>
      </c>
      <c r="B9" s="831" t="s">
        <v>51</v>
      </c>
      <c r="C9" s="441" t="s">
        <v>915</v>
      </c>
      <c r="D9" s="454" t="s">
        <v>978</v>
      </c>
      <c r="E9" s="441" t="s">
        <v>2352</v>
      </c>
      <c r="F9" s="831">
        <v>-0.20829900000000001</v>
      </c>
      <c r="G9" s="440">
        <v>1.1476000000000001E-4</v>
      </c>
      <c r="H9" s="440">
        <v>1.69684E-4</v>
      </c>
      <c r="I9" s="831" t="s">
        <v>2552</v>
      </c>
      <c r="J9" s="811" t="s">
        <v>2555</v>
      </c>
      <c r="K9" s="458" t="s">
        <v>2556</v>
      </c>
      <c r="L9" s="454" t="s">
        <v>975</v>
      </c>
      <c r="M9" s="439">
        <v>-0.25</v>
      </c>
      <c r="N9" s="438">
        <v>1.9999999999999999E-6</v>
      </c>
      <c r="O9" s="437">
        <v>0.95</v>
      </c>
      <c r="P9" s="831">
        <v>1</v>
      </c>
    </row>
    <row r="10" spans="1:16" s="28" customFormat="1" x14ac:dyDescent="0.25">
      <c r="A10" s="531" t="s">
        <v>50</v>
      </c>
      <c r="B10" s="454" t="s">
        <v>51</v>
      </c>
      <c r="C10" s="460" t="s">
        <v>915</v>
      </c>
      <c r="D10" s="454" t="s">
        <v>978</v>
      </c>
      <c r="E10" s="460" t="s">
        <v>2557</v>
      </c>
      <c r="F10" s="454">
        <v>0.25395299999999998</v>
      </c>
      <c r="G10" s="459">
        <v>5.7100000000000002E-7</v>
      </c>
      <c r="H10" s="459">
        <v>1.20104E-4</v>
      </c>
      <c r="I10" s="454" t="s">
        <v>2552</v>
      </c>
      <c r="J10" s="532" t="s">
        <v>2339</v>
      </c>
      <c r="K10" s="458" t="s">
        <v>2338</v>
      </c>
      <c r="L10" s="454" t="s">
        <v>978</v>
      </c>
      <c r="M10" s="270">
        <v>-0.26</v>
      </c>
      <c r="N10" s="456">
        <v>2.7000000000000001E-7</v>
      </c>
      <c r="O10" s="455">
        <v>0.81</v>
      </c>
      <c r="P10" s="454">
        <v>0.98</v>
      </c>
    </row>
    <row r="11" spans="1:16" x14ac:dyDescent="0.25">
      <c r="A11" s="526" t="s">
        <v>50</v>
      </c>
      <c r="B11" s="528" t="s">
        <v>51</v>
      </c>
      <c r="C11" s="37" t="s">
        <v>915</v>
      </c>
      <c r="D11" s="113" t="s">
        <v>978</v>
      </c>
      <c r="E11" s="37" t="s">
        <v>2340</v>
      </c>
      <c r="F11" s="528">
        <v>-0.24138899999999999</v>
      </c>
      <c r="G11" s="529">
        <v>3.01E-5</v>
      </c>
      <c r="H11" s="529">
        <v>8.3999999999999995E-5</v>
      </c>
      <c r="I11" s="528" t="s">
        <v>2542</v>
      </c>
      <c r="J11" s="527" t="s">
        <v>2558</v>
      </c>
      <c r="K11" s="447" t="s">
        <v>2559</v>
      </c>
      <c r="L11" s="113" t="s">
        <v>978</v>
      </c>
      <c r="M11" s="444">
        <v>-0.32</v>
      </c>
      <c r="N11" s="442">
        <v>6E-9</v>
      </c>
      <c r="O11" s="530">
        <v>0.56999999999999995</v>
      </c>
      <c r="P11" s="528">
        <v>0.99</v>
      </c>
    </row>
    <row r="12" spans="1:16" x14ac:dyDescent="0.25">
      <c r="A12" s="526" t="s">
        <v>50</v>
      </c>
      <c r="B12" s="528" t="s">
        <v>51</v>
      </c>
      <c r="C12" s="37" t="s">
        <v>915</v>
      </c>
      <c r="D12" s="113" t="s">
        <v>978</v>
      </c>
      <c r="E12" s="37" t="s">
        <v>2346</v>
      </c>
      <c r="F12" s="528">
        <v>0.182979</v>
      </c>
      <c r="G12" s="529">
        <v>4.0000000000000001E-8</v>
      </c>
      <c r="H12" s="529">
        <v>9.6100000000000005E-5</v>
      </c>
      <c r="I12" s="528" t="s">
        <v>2538</v>
      </c>
      <c r="J12" s="527" t="s">
        <v>2560</v>
      </c>
      <c r="K12" s="447" t="s">
        <v>2561</v>
      </c>
      <c r="L12" s="113" t="s">
        <v>984</v>
      </c>
      <c r="M12" s="444">
        <v>0.27</v>
      </c>
      <c r="N12" s="442">
        <v>9.9999999999999998E-17</v>
      </c>
      <c r="O12" s="530">
        <v>0.43</v>
      </c>
      <c r="P12" s="528">
        <v>0.91</v>
      </c>
    </row>
    <row r="13" spans="1:16" x14ac:dyDescent="0.25">
      <c r="A13" s="526" t="s">
        <v>50</v>
      </c>
      <c r="B13" s="528" t="s">
        <v>51</v>
      </c>
      <c r="C13" s="37" t="s">
        <v>915</v>
      </c>
      <c r="D13" s="113" t="s">
        <v>978</v>
      </c>
      <c r="E13" s="37" t="s">
        <v>2557</v>
      </c>
      <c r="F13" s="528">
        <v>0.21107699999999999</v>
      </c>
      <c r="G13" s="529">
        <v>1.31E-6</v>
      </c>
      <c r="H13" s="529">
        <v>9.7899999999999994E-5</v>
      </c>
      <c r="I13" s="528" t="s">
        <v>2538</v>
      </c>
      <c r="J13" s="527" t="s">
        <v>2562</v>
      </c>
      <c r="K13" s="447" t="s">
        <v>2563</v>
      </c>
      <c r="L13" s="113" t="s">
        <v>980</v>
      </c>
      <c r="M13" s="444">
        <v>0.25</v>
      </c>
      <c r="N13" s="442">
        <v>2.1999999999999998E-9</v>
      </c>
      <c r="O13" s="530">
        <v>0.54</v>
      </c>
      <c r="P13" s="528">
        <v>0.99</v>
      </c>
    </row>
    <row r="14" spans="1:16" x14ac:dyDescent="0.25">
      <c r="A14" s="526" t="s">
        <v>54</v>
      </c>
      <c r="B14" s="528" t="s">
        <v>55</v>
      </c>
      <c r="C14" s="37" t="s">
        <v>916</v>
      </c>
      <c r="D14" s="113" t="s">
        <v>972</v>
      </c>
      <c r="E14" s="37" t="s">
        <v>2346</v>
      </c>
      <c r="F14" s="528">
        <v>0.176758</v>
      </c>
      <c r="G14" s="529">
        <v>1.6200000000000001E-5</v>
      </c>
      <c r="H14" s="529">
        <v>1.3944399999999999E-4</v>
      </c>
      <c r="I14" s="528" t="s">
        <v>2552</v>
      </c>
      <c r="J14" s="527" t="s">
        <v>2553</v>
      </c>
      <c r="K14" s="447" t="s">
        <v>2554</v>
      </c>
      <c r="L14" s="113" t="s">
        <v>980</v>
      </c>
      <c r="M14" s="444">
        <v>0.38</v>
      </c>
      <c r="N14" s="442">
        <v>1.2E-16</v>
      </c>
      <c r="O14" s="530">
        <v>0.28000000000000003</v>
      </c>
      <c r="P14" s="528">
        <v>0.87</v>
      </c>
    </row>
    <row r="15" spans="1:16" s="28" customFormat="1" x14ac:dyDescent="0.25">
      <c r="A15" s="531" t="s">
        <v>54</v>
      </c>
      <c r="B15" s="831" t="s">
        <v>55</v>
      </c>
      <c r="C15" s="441" t="s">
        <v>916</v>
      </c>
      <c r="D15" s="454" t="s">
        <v>972</v>
      </c>
      <c r="E15" s="441" t="s">
        <v>2557</v>
      </c>
      <c r="F15" s="831">
        <v>0.221802</v>
      </c>
      <c r="G15" s="440">
        <v>1.0000000000000001E-5</v>
      </c>
      <c r="H15" s="440">
        <v>1.20104E-4</v>
      </c>
      <c r="I15" s="831" t="s">
        <v>2552</v>
      </c>
      <c r="J15" s="811" t="s">
        <v>2339</v>
      </c>
      <c r="K15" s="458" t="s">
        <v>2338</v>
      </c>
      <c r="L15" s="454" t="s">
        <v>978</v>
      </c>
      <c r="M15" s="439">
        <v>-0.26</v>
      </c>
      <c r="N15" s="438">
        <v>2.7000000000000001E-7</v>
      </c>
      <c r="O15" s="437">
        <v>0.82</v>
      </c>
      <c r="P15" s="831">
        <v>0.97</v>
      </c>
    </row>
    <row r="16" spans="1:16" x14ac:dyDescent="0.25">
      <c r="A16" s="526" t="s">
        <v>54</v>
      </c>
      <c r="B16" s="528" t="s">
        <v>55</v>
      </c>
      <c r="C16" s="37" t="s">
        <v>916</v>
      </c>
      <c r="D16" s="113" t="s">
        <v>972</v>
      </c>
      <c r="E16" s="37" t="s">
        <v>2340</v>
      </c>
      <c r="F16" s="528">
        <v>-0.23005500000000001</v>
      </c>
      <c r="G16" s="529">
        <v>8.1799999999999996E-5</v>
      </c>
      <c r="H16" s="529">
        <v>8.3999999999999995E-5</v>
      </c>
      <c r="I16" s="528" t="s">
        <v>2542</v>
      </c>
      <c r="J16" s="527" t="s">
        <v>2558</v>
      </c>
      <c r="K16" s="447" t="s">
        <v>2559</v>
      </c>
      <c r="L16" s="113" t="s">
        <v>978</v>
      </c>
      <c r="M16" s="444">
        <v>-0.32</v>
      </c>
      <c r="N16" s="442">
        <v>6E-9</v>
      </c>
      <c r="O16" s="530">
        <v>0.53</v>
      </c>
      <c r="P16" s="528">
        <v>0.81</v>
      </c>
    </row>
    <row r="17" spans="1:16" x14ac:dyDescent="0.25">
      <c r="A17" s="526" t="s">
        <v>54</v>
      </c>
      <c r="B17" s="528" t="s">
        <v>55</v>
      </c>
      <c r="C17" s="37" t="s">
        <v>916</v>
      </c>
      <c r="D17" s="113" t="s">
        <v>972</v>
      </c>
      <c r="E17" s="37" t="s">
        <v>2346</v>
      </c>
      <c r="F17" s="528">
        <v>0.23261100000000001</v>
      </c>
      <c r="G17" s="529">
        <v>2.8799999999999998E-13</v>
      </c>
      <c r="H17" s="529">
        <v>9.6100000000000005E-5</v>
      </c>
      <c r="I17" s="528" t="s">
        <v>2538</v>
      </c>
      <c r="J17" s="527" t="s">
        <v>2560</v>
      </c>
      <c r="K17" s="447" t="s">
        <v>2561</v>
      </c>
      <c r="L17" s="113" t="s">
        <v>984</v>
      </c>
      <c r="M17" s="444">
        <v>0.27</v>
      </c>
      <c r="N17" s="442">
        <v>9.9999999999999998E-17</v>
      </c>
      <c r="O17" s="530">
        <v>0.59</v>
      </c>
      <c r="P17" s="528">
        <v>0.9</v>
      </c>
    </row>
    <row r="18" spans="1:16" x14ac:dyDescent="0.25">
      <c r="A18" s="526" t="s">
        <v>54</v>
      </c>
      <c r="B18" s="528" t="s">
        <v>55</v>
      </c>
      <c r="C18" s="37" t="s">
        <v>916</v>
      </c>
      <c r="D18" s="113" t="s">
        <v>972</v>
      </c>
      <c r="E18" s="37" t="s">
        <v>2557</v>
      </c>
      <c r="F18" s="528">
        <v>0.19433</v>
      </c>
      <c r="G18" s="529">
        <v>4.9300000000000002E-6</v>
      </c>
      <c r="H18" s="529">
        <v>9.7899999999999994E-5</v>
      </c>
      <c r="I18" s="528" t="s">
        <v>2538</v>
      </c>
      <c r="J18" s="527" t="s">
        <v>2562</v>
      </c>
      <c r="K18" s="447" t="s">
        <v>2563</v>
      </c>
      <c r="L18" s="113" t="s">
        <v>980</v>
      </c>
      <c r="M18" s="444">
        <v>0.25</v>
      </c>
      <c r="N18" s="442">
        <v>2.1999999999999998E-9</v>
      </c>
      <c r="O18" s="530">
        <v>0.55000000000000004</v>
      </c>
      <c r="P18" s="528">
        <v>0.85</v>
      </c>
    </row>
    <row r="19" spans="1:16" x14ac:dyDescent="0.25">
      <c r="A19" s="526" t="s">
        <v>54</v>
      </c>
      <c r="B19" s="528" t="s">
        <v>55</v>
      </c>
      <c r="C19" s="37" t="s">
        <v>916</v>
      </c>
      <c r="D19" s="113" t="s">
        <v>972</v>
      </c>
      <c r="E19" s="37" t="s">
        <v>2346</v>
      </c>
      <c r="F19" s="528">
        <v>-0.43349700000000002</v>
      </c>
      <c r="G19" s="529">
        <v>3.1499999999999999E-6</v>
      </c>
      <c r="H19" s="529">
        <v>8.4400000000000005E-5</v>
      </c>
      <c r="I19" s="528" t="s">
        <v>2564</v>
      </c>
      <c r="J19" s="527" t="s">
        <v>2565</v>
      </c>
      <c r="K19" s="447" t="s">
        <v>2566</v>
      </c>
      <c r="L19" s="113" t="s">
        <v>980</v>
      </c>
      <c r="M19" s="444">
        <v>0.59</v>
      </c>
      <c r="N19" s="442">
        <v>1.2999999999999999E-10</v>
      </c>
      <c r="O19" s="530">
        <v>0.6</v>
      </c>
      <c r="P19" s="528">
        <v>0.91</v>
      </c>
    </row>
    <row r="20" spans="1:16" x14ac:dyDescent="0.25">
      <c r="A20" s="526" t="s">
        <v>54</v>
      </c>
      <c r="B20" s="528" t="s">
        <v>55</v>
      </c>
      <c r="C20" s="37" t="s">
        <v>916</v>
      </c>
      <c r="D20" s="113" t="s">
        <v>972</v>
      </c>
      <c r="E20" s="37" t="s">
        <v>2567</v>
      </c>
      <c r="F20" s="528">
        <v>0.35780200000000001</v>
      </c>
      <c r="G20" s="529">
        <v>5.4299999999999998E-5</v>
      </c>
      <c r="H20" s="529">
        <v>7.86E-5</v>
      </c>
      <c r="I20" s="528" t="s">
        <v>2564</v>
      </c>
      <c r="J20" s="527" t="s">
        <v>2568</v>
      </c>
      <c r="K20" s="447" t="s">
        <v>2569</v>
      </c>
      <c r="L20" s="113" t="s">
        <v>986</v>
      </c>
      <c r="M20" s="443">
        <v>-0.62</v>
      </c>
      <c r="N20" s="442">
        <v>2.4E-10</v>
      </c>
      <c r="O20" s="530">
        <v>7.0000000000000007E-2</v>
      </c>
      <c r="P20" s="528">
        <v>0.41</v>
      </c>
    </row>
    <row r="21" spans="1:16" x14ac:dyDescent="0.25">
      <c r="A21" s="526" t="s">
        <v>54</v>
      </c>
      <c r="B21" s="528" t="s">
        <v>55</v>
      </c>
      <c r="C21" s="37" t="s">
        <v>916</v>
      </c>
      <c r="D21" s="113" t="s">
        <v>972</v>
      </c>
      <c r="E21" s="37" t="s">
        <v>2359</v>
      </c>
      <c r="F21" s="528">
        <v>-0.30796200000000001</v>
      </c>
      <c r="G21" s="529">
        <v>4.8099999999999997E-5</v>
      </c>
      <c r="H21" s="529">
        <v>1.2692700000000001E-4</v>
      </c>
      <c r="I21" s="528" t="s">
        <v>2564</v>
      </c>
      <c r="J21" s="527" t="s">
        <v>2570</v>
      </c>
      <c r="K21" s="447" t="s">
        <v>2571</v>
      </c>
      <c r="L21" s="113" t="s">
        <v>978</v>
      </c>
      <c r="M21" s="444">
        <v>0.76</v>
      </c>
      <c r="N21" s="442">
        <v>9.3999999999999995E-12</v>
      </c>
      <c r="O21" s="530">
        <v>2.0000000000000001E-4</v>
      </c>
      <c r="P21" s="528">
        <v>0.05</v>
      </c>
    </row>
    <row r="22" spans="1:16" x14ac:dyDescent="0.25">
      <c r="A22" s="526" t="s">
        <v>75</v>
      </c>
      <c r="B22" s="528" t="s">
        <v>76</v>
      </c>
      <c r="C22" s="37" t="s">
        <v>77</v>
      </c>
      <c r="D22" s="113" t="s">
        <v>980</v>
      </c>
      <c r="E22" s="37" t="s">
        <v>2572</v>
      </c>
      <c r="F22" s="528">
        <v>0.23869799999999999</v>
      </c>
      <c r="G22" s="529">
        <v>3.22E-7</v>
      </c>
      <c r="H22" s="529">
        <v>5.5000000000000002E-5</v>
      </c>
      <c r="I22" s="528" t="s">
        <v>2552</v>
      </c>
      <c r="J22" s="527" t="s">
        <v>2573</v>
      </c>
      <c r="K22" s="447" t="s">
        <v>2574</v>
      </c>
      <c r="L22" s="113" t="s">
        <v>974</v>
      </c>
      <c r="M22" s="444">
        <v>0.3</v>
      </c>
      <c r="N22" s="442">
        <v>1.4000000000000001E-10</v>
      </c>
      <c r="O22" s="530">
        <v>0.66</v>
      </c>
      <c r="P22" s="528">
        <v>0.85</v>
      </c>
    </row>
    <row r="23" spans="1:16" x14ac:dyDescent="0.25">
      <c r="A23" s="526" t="s">
        <v>89</v>
      </c>
      <c r="B23" s="528" t="s">
        <v>90</v>
      </c>
      <c r="C23" s="37" t="s">
        <v>91</v>
      </c>
      <c r="D23" s="113" t="s">
        <v>986</v>
      </c>
      <c r="E23" s="37" t="s">
        <v>91</v>
      </c>
      <c r="F23" s="528">
        <v>0.413408</v>
      </c>
      <c r="G23" s="529">
        <v>6.4499999999999998E-13</v>
      </c>
      <c r="H23" s="529">
        <v>9.3200000000000002E-5</v>
      </c>
      <c r="I23" s="528" t="s">
        <v>2552</v>
      </c>
      <c r="J23" s="527" t="s">
        <v>2575</v>
      </c>
      <c r="K23" s="447" t="s">
        <v>2576</v>
      </c>
      <c r="L23" s="113" t="s">
        <v>975</v>
      </c>
      <c r="M23" s="444">
        <v>0.57999999999999996</v>
      </c>
      <c r="N23" s="442">
        <v>6.7999999999999999E-46</v>
      </c>
      <c r="O23" s="530">
        <v>0.32</v>
      </c>
      <c r="P23" s="528">
        <v>1</v>
      </c>
    </row>
    <row r="24" spans="1:16" x14ac:dyDescent="0.25">
      <c r="A24" s="526" t="s">
        <v>89</v>
      </c>
      <c r="B24" s="528" t="s">
        <v>90</v>
      </c>
      <c r="C24" s="37" t="s">
        <v>91</v>
      </c>
      <c r="D24" s="113" t="s">
        <v>986</v>
      </c>
      <c r="E24" s="37" t="s">
        <v>91</v>
      </c>
      <c r="F24" s="528">
        <v>0.51197599999999999</v>
      </c>
      <c r="G24" s="529">
        <v>1.08E-9</v>
      </c>
      <c r="H24" s="529">
        <v>4.6100000000000002E-5</v>
      </c>
      <c r="I24" s="528" t="s">
        <v>2542</v>
      </c>
      <c r="J24" s="527" t="s">
        <v>2577</v>
      </c>
      <c r="K24" s="447" t="s">
        <v>2578</v>
      </c>
      <c r="L24" s="113" t="s">
        <v>975</v>
      </c>
      <c r="M24" s="444">
        <v>0.69</v>
      </c>
      <c r="N24" s="442">
        <v>1.5000000000000001E-26</v>
      </c>
      <c r="O24" s="530">
        <v>0.32</v>
      </c>
      <c r="P24" s="528">
        <v>1</v>
      </c>
    </row>
    <row r="25" spans="1:16" x14ac:dyDescent="0.25">
      <c r="A25" s="526" t="s">
        <v>89</v>
      </c>
      <c r="B25" s="528" t="s">
        <v>90</v>
      </c>
      <c r="C25" s="37" t="s">
        <v>91</v>
      </c>
      <c r="D25" s="113" t="s">
        <v>986</v>
      </c>
      <c r="E25" s="37" t="s">
        <v>91</v>
      </c>
      <c r="F25" s="528">
        <v>0.29078199999999998</v>
      </c>
      <c r="G25" s="529">
        <v>4.8699999999999995E-7</v>
      </c>
      <c r="H25" s="529">
        <v>7.1099999999999994E-5</v>
      </c>
      <c r="I25" s="528" t="s">
        <v>2538</v>
      </c>
      <c r="J25" s="527" t="s">
        <v>2579</v>
      </c>
      <c r="K25" s="447" t="s">
        <v>2580</v>
      </c>
      <c r="L25" s="113" t="s">
        <v>975</v>
      </c>
      <c r="M25" s="444">
        <v>0.62</v>
      </c>
      <c r="N25" s="442">
        <v>2.7000000000000001E-52</v>
      </c>
      <c r="O25" s="530">
        <v>0.32</v>
      </c>
      <c r="P25" s="528">
        <v>1</v>
      </c>
    </row>
    <row r="26" spans="1:16" s="28" customFormat="1" x14ac:dyDescent="0.25">
      <c r="A26" s="531" t="s">
        <v>89</v>
      </c>
      <c r="B26" s="831" t="s">
        <v>90</v>
      </c>
      <c r="C26" s="441" t="s">
        <v>91</v>
      </c>
      <c r="D26" s="454" t="s">
        <v>986</v>
      </c>
      <c r="E26" s="441" t="s">
        <v>2379</v>
      </c>
      <c r="F26" s="831">
        <v>-0.243892</v>
      </c>
      <c r="G26" s="440">
        <v>7.7900000000000006E-9</v>
      </c>
      <c r="H26" s="440">
        <v>7.1000000000000005E-5</v>
      </c>
      <c r="I26" s="831" t="s">
        <v>2538</v>
      </c>
      <c r="J26" s="811" t="s">
        <v>2581</v>
      </c>
      <c r="K26" s="458" t="s">
        <v>2582</v>
      </c>
      <c r="L26" s="454" t="s">
        <v>974</v>
      </c>
      <c r="M26" s="439">
        <v>-0.28000000000000003</v>
      </c>
      <c r="N26" s="438">
        <v>6.3000000000000002E-11</v>
      </c>
      <c r="O26" s="437">
        <v>0.99</v>
      </c>
      <c r="P26" s="831">
        <v>1</v>
      </c>
    </row>
    <row r="27" spans="1:16" x14ac:dyDescent="0.25">
      <c r="A27" s="526" t="s">
        <v>89</v>
      </c>
      <c r="B27" s="528" t="s">
        <v>90</v>
      </c>
      <c r="C27" s="37" t="s">
        <v>91</v>
      </c>
      <c r="D27" s="113" t="s">
        <v>986</v>
      </c>
      <c r="E27" s="37" t="s">
        <v>2379</v>
      </c>
      <c r="F27" s="528">
        <v>0.73963500000000004</v>
      </c>
      <c r="G27" s="529">
        <v>2.9100000000000001E-6</v>
      </c>
      <c r="H27" s="529">
        <v>5.77E-5</v>
      </c>
      <c r="I27" s="528" t="s">
        <v>2564</v>
      </c>
      <c r="J27" s="527" t="s">
        <v>2583</v>
      </c>
      <c r="K27" s="447" t="s">
        <v>2584</v>
      </c>
      <c r="L27" s="113" t="s">
        <v>980</v>
      </c>
      <c r="M27" s="444">
        <v>-1</v>
      </c>
      <c r="N27" s="442">
        <v>5.4000000000000002E-15</v>
      </c>
      <c r="O27" s="530">
        <v>0.62</v>
      </c>
      <c r="P27" s="528">
        <v>0.97</v>
      </c>
    </row>
    <row r="28" spans="1:16" s="28" customFormat="1" x14ac:dyDescent="0.25">
      <c r="A28" s="531" t="s">
        <v>101</v>
      </c>
      <c r="B28" s="831" t="s">
        <v>102</v>
      </c>
      <c r="C28" s="441" t="s">
        <v>103</v>
      </c>
      <c r="D28" s="454" t="s">
        <v>978</v>
      </c>
      <c r="E28" s="441" t="s">
        <v>103</v>
      </c>
      <c r="F28" s="831">
        <v>0.86025200000000002</v>
      </c>
      <c r="G28" s="440">
        <v>7.7899999999999995E-43</v>
      </c>
      <c r="H28" s="440">
        <v>4.7700000000000001E-5</v>
      </c>
      <c r="I28" s="831" t="s">
        <v>2552</v>
      </c>
      <c r="J28" s="811" t="s">
        <v>2585</v>
      </c>
      <c r="K28" s="458" t="s">
        <v>2586</v>
      </c>
      <c r="L28" s="454" t="s">
        <v>974</v>
      </c>
      <c r="M28" s="439">
        <v>0.9</v>
      </c>
      <c r="N28" s="438">
        <v>1.2E-50</v>
      </c>
      <c r="O28" s="437">
        <v>0.82</v>
      </c>
      <c r="P28" s="831">
        <v>0.98</v>
      </c>
    </row>
    <row r="29" spans="1:16" s="28" customFormat="1" x14ac:dyDescent="0.25">
      <c r="A29" s="531" t="s">
        <v>101</v>
      </c>
      <c r="B29" s="831" t="s">
        <v>102</v>
      </c>
      <c r="C29" s="441" t="s">
        <v>103</v>
      </c>
      <c r="D29" s="454" t="s">
        <v>978</v>
      </c>
      <c r="E29" s="441" t="s">
        <v>103</v>
      </c>
      <c r="F29" s="831">
        <v>0.60512999999999995</v>
      </c>
      <c r="G29" s="440">
        <v>1.2899999999999999E-10</v>
      </c>
      <c r="H29" s="440">
        <v>2.6400000000000001E-5</v>
      </c>
      <c r="I29" s="831" t="s">
        <v>2542</v>
      </c>
      <c r="J29" s="811" t="s">
        <v>2585</v>
      </c>
      <c r="K29" s="458" t="s">
        <v>2586</v>
      </c>
      <c r="L29" s="454" t="s">
        <v>974</v>
      </c>
      <c r="M29" s="439">
        <v>0.65</v>
      </c>
      <c r="N29" s="438">
        <v>1.3E-13</v>
      </c>
      <c r="O29" s="437">
        <v>0.82</v>
      </c>
      <c r="P29" s="831">
        <v>0.98</v>
      </c>
    </row>
    <row r="30" spans="1:16" s="28" customFormat="1" x14ac:dyDescent="0.25">
      <c r="A30" s="531" t="s">
        <v>101</v>
      </c>
      <c r="B30" s="831" t="s">
        <v>102</v>
      </c>
      <c r="C30" s="441" t="s">
        <v>103</v>
      </c>
      <c r="D30" s="454" t="s">
        <v>978</v>
      </c>
      <c r="E30" s="441" t="s">
        <v>103</v>
      </c>
      <c r="F30" s="831">
        <v>0.23383599999999999</v>
      </c>
      <c r="G30" s="440">
        <v>8.1000000000000004E-6</v>
      </c>
      <c r="H30" s="440">
        <v>3.8600000000000003E-5</v>
      </c>
      <c r="I30" s="831" t="s">
        <v>2538</v>
      </c>
      <c r="J30" s="811" t="s">
        <v>2587</v>
      </c>
      <c r="K30" s="458" t="s">
        <v>2588</v>
      </c>
      <c r="L30" s="454" t="s">
        <v>974</v>
      </c>
      <c r="M30" s="439">
        <v>0.27</v>
      </c>
      <c r="N30" s="438">
        <v>3.3000000000000002E-7</v>
      </c>
      <c r="O30" s="437">
        <v>0.95</v>
      </c>
      <c r="P30" s="831">
        <v>0.99</v>
      </c>
    </row>
    <row r="31" spans="1:16" s="28" customFormat="1" x14ac:dyDescent="0.25">
      <c r="A31" s="531" t="s">
        <v>101</v>
      </c>
      <c r="B31" s="831" t="s">
        <v>102</v>
      </c>
      <c r="C31" s="441" t="s">
        <v>103</v>
      </c>
      <c r="D31" s="454" t="s">
        <v>978</v>
      </c>
      <c r="E31" s="441" t="s">
        <v>103</v>
      </c>
      <c r="F31" s="831">
        <v>0.47175699999999998</v>
      </c>
      <c r="G31" s="440">
        <v>6.8600000000000001E-10</v>
      </c>
      <c r="H31" s="440">
        <v>3.1399999999999998E-5</v>
      </c>
      <c r="I31" s="831" t="s">
        <v>2564</v>
      </c>
      <c r="J31" s="811" t="s">
        <v>2585</v>
      </c>
      <c r="K31" s="458" t="s">
        <v>2588</v>
      </c>
      <c r="L31" s="454" t="s">
        <v>974</v>
      </c>
      <c r="M31" s="439">
        <v>0.51</v>
      </c>
      <c r="N31" s="438">
        <v>1E-13</v>
      </c>
      <c r="O31" s="437">
        <v>0.82</v>
      </c>
      <c r="P31" s="831">
        <v>0.98</v>
      </c>
    </row>
    <row r="32" spans="1:16" s="28" customFormat="1" ht="15.75" thickBot="1" x14ac:dyDescent="0.3">
      <c r="A32" s="531" t="s">
        <v>105</v>
      </c>
      <c r="B32" s="831" t="s">
        <v>106</v>
      </c>
      <c r="C32" s="441" t="s">
        <v>107</v>
      </c>
      <c r="D32" s="454" t="s">
        <v>980</v>
      </c>
      <c r="E32" s="441" t="s">
        <v>107</v>
      </c>
      <c r="F32" s="831">
        <v>0.355014</v>
      </c>
      <c r="G32" s="440">
        <v>8.3400000000000006E-9</v>
      </c>
      <c r="H32" s="440">
        <v>8.6700000000000007E-5</v>
      </c>
      <c r="I32" s="831" t="s">
        <v>2552</v>
      </c>
      <c r="J32" s="811" t="s">
        <v>2589</v>
      </c>
      <c r="K32" s="458" t="s">
        <v>2590</v>
      </c>
      <c r="L32" s="454" t="s">
        <v>978</v>
      </c>
      <c r="M32" s="439">
        <v>0.38</v>
      </c>
      <c r="N32" s="438">
        <v>7.3000000000000006E-11</v>
      </c>
      <c r="O32" s="437">
        <v>0.83</v>
      </c>
      <c r="P32" s="831">
        <v>0.92</v>
      </c>
    </row>
    <row r="33" spans="1:16" x14ac:dyDescent="0.25">
      <c r="A33" s="526" t="s">
        <v>105</v>
      </c>
      <c r="B33" s="528" t="s">
        <v>106</v>
      </c>
      <c r="C33" s="37" t="s">
        <v>107</v>
      </c>
      <c r="D33" s="113" t="s">
        <v>980</v>
      </c>
      <c r="E33" s="37" t="s">
        <v>107</v>
      </c>
      <c r="F33" s="528">
        <v>0.29310199999999997</v>
      </c>
      <c r="G33" s="529">
        <v>2.9600000000000001E-5</v>
      </c>
      <c r="H33" s="529">
        <v>4.5099999999999998E-5</v>
      </c>
      <c r="I33" s="528" t="s">
        <v>2542</v>
      </c>
      <c r="J33" s="527" t="s">
        <v>2591</v>
      </c>
      <c r="K33" s="447" t="s">
        <v>2592</v>
      </c>
      <c r="L33" s="113" t="s">
        <v>2269</v>
      </c>
      <c r="M33" s="462">
        <v>0.28999999999999998</v>
      </c>
      <c r="N33" s="451">
        <v>1.8E-7</v>
      </c>
      <c r="O33" s="533">
        <v>0.49</v>
      </c>
      <c r="P33" s="528">
        <v>0.95</v>
      </c>
    </row>
    <row r="34" spans="1:16" s="28" customFormat="1" x14ac:dyDescent="0.25">
      <c r="A34" s="531" t="s">
        <v>105</v>
      </c>
      <c r="B34" s="831" t="s">
        <v>106</v>
      </c>
      <c r="C34" s="441" t="s">
        <v>107</v>
      </c>
      <c r="D34" s="454" t="s">
        <v>980</v>
      </c>
      <c r="E34" s="441" t="s">
        <v>107</v>
      </c>
      <c r="F34" s="831">
        <v>0.69913599999999998</v>
      </c>
      <c r="G34" s="440">
        <v>5.7999999999999998E-9</v>
      </c>
      <c r="H34" s="440">
        <v>6.7700000000000006E-5</v>
      </c>
      <c r="I34" s="831" t="s">
        <v>2564</v>
      </c>
      <c r="J34" s="811" t="s">
        <v>2593</v>
      </c>
      <c r="K34" s="458" t="s">
        <v>2594</v>
      </c>
      <c r="L34" s="454" t="s">
        <v>975</v>
      </c>
      <c r="M34" s="439">
        <v>0.7</v>
      </c>
      <c r="N34" s="449">
        <v>7.1000000000000003E-10</v>
      </c>
      <c r="O34" s="461">
        <v>0.9</v>
      </c>
      <c r="P34" s="831">
        <v>0.97</v>
      </c>
    </row>
    <row r="35" spans="1:16" s="28" customFormat="1" x14ac:dyDescent="0.25">
      <c r="A35" s="531" t="s">
        <v>110</v>
      </c>
      <c r="B35" s="831" t="s">
        <v>111</v>
      </c>
      <c r="C35" s="441" t="s">
        <v>107</v>
      </c>
      <c r="D35" s="454" t="s">
        <v>979</v>
      </c>
      <c r="E35" s="441" t="s">
        <v>107</v>
      </c>
      <c r="F35" s="831">
        <v>0.34367999999999999</v>
      </c>
      <c r="G35" s="440">
        <v>1.18E-8</v>
      </c>
      <c r="H35" s="440">
        <v>8.6700000000000007E-5</v>
      </c>
      <c r="I35" s="831" t="s">
        <v>2552</v>
      </c>
      <c r="J35" s="811" t="s">
        <v>2589</v>
      </c>
      <c r="K35" s="458" t="s">
        <v>2590</v>
      </c>
      <c r="L35" s="454" t="s">
        <v>978</v>
      </c>
      <c r="M35" s="439">
        <v>0.38</v>
      </c>
      <c r="N35" s="449">
        <v>7.3000000000000006E-11</v>
      </c>
      <c r="O35" s="437">
        <v>0.82</v>
      </c>
      <c r="P35" s="831">
        <v>0.91</v>
      </c>
    </row>
    <row r="36" spans="1:16" x14ac:dyDescent="0.25">
      <c r="A36" s="526" t="s">
        <v>110</v>
      </c>
      <c r="B36" s="528" t="s">
        <v>111</v>
      </c>
      <c r="C36" s="37" t="s">
        <v>107</v>
      </c>
      <c r="D36" s="113" t="s">
        <v>979</v>
      </c>
      <c r="E36" s="37" t="s">
        <v>107</v>
      </c>
      <c r="F36" s="528">
        <v>0.31009500000000001</v>
      </c>
      <c r="G36" s="529">
        <v>9.0299999999999999E-6</v>
      </c>
      <c r="H36" s="529">
        <v>4.5099999999999998E-5</v>
      </c>
      <c r="I36" s="528" t="s">
        <v>2542</v>
      </c>
      <c r="J36" s="527" t="s">
        <v>2591</v>
      </c>
      <c r="K36" s="447" t="s">
        <v>2592</v>
      </c>
      <c r="L36" s="113" t="s">
        <v>2269</v>
      </c>
      <c r="M36" s="444">
        <v>0.28999999999999998</v>
      </c>
      <c r="N36" s="451">
        <v>1.8E-7</v>
      </c>
      <c r="O36" s="530">
        <v>0.48</v>
      </c>
      <c r="P36" s="528">
        <v>0.95</v>
      </c>
    </row>
    <row r="37" spans="1:16" s="28" customFormat="1" x14ac:dyDescent="0.25">
      <c r="A37" s="531" t="s">
        <v>110</v>
      </c>
      <c r="B37" s="831" t="s">
        <v>111</v>
      </c>
      <c r="C37" s="441" t="s">
        <v>107</v>
      </c>
      <c r="D37" s="454" t="s">
        <v>979</v>
      </c>
      <c r="E37" s="441" t="s">
        <v>107</v>
      </c>
      <c r="F37" s="831">
        <v>0.690944</v>
      </c>
      <c r="G37" s="440">
        <v>3.8700000000000001E-9</v>
      </c>
      <c r="H37" s="440">
        <v>6.7700000000000006E-5</v>
      </c>
      <c r="I37" s="831" t="s">
        <v>2564</v>
      </c>
      <c r="J37" s="811" t="s">
        <v>2593</v>
      </c>
      <c r="K37" s="458" t="s">
        <v>2594</v>
      </c>
      <c r="L37" s="454" t="s">
        <v>975</v>
      </c>
      <c r="M37" s="439">
        <v>0.7</v>
      </c>
      <c r="N37" s="449">
        <v>7.1000000000000003E-10</v>
      </c>
      <c r="O37" s="437">
        <v>0.92</v>
      </c>
      <c r="P37" s="831">
        <v>0.99</v>
      </c>
    </row>
    <row r="38" spans="1:16" x14ac:dyDescent="0.25">
      <c r="A38" s="526" t="s">
        <v>121</v>
      </c>
      <c r="B38" s="113" t="s">
        <v>122</v>
      </c>
      <c r="C38" s="448" t="s">
        <v>123</v>
      </c>
      <c r="D38" s="113" t="s">
        <v>974</v>
      </c>
      <c r="E38" s="448" t="s">
        <v>2405</v>
      </c>
      <c r="F38" s="113">
        <v>-0.45723799999999998</v>
      </c>
      <c r="G38" s="114">
        <v>4.4099999999999998E-8</v>
      </c>
      <c r="H38" s="114">
        <v>9.0600000000000007E-5</v>
      </c>
      <c r="I38" s="113" t="s">
        <v>2552</v>
      </c>
      <c r="J38" s="534" t="s">
        <v>2595</v>
      </c>
      <c r="K38" s="447" t="s">
        <v>2596</v>
      </c>
      <c r="L38" s="113" t="s">
        <v>974</v>
      </c>
      <c r="M38" s="241">
        <v>-0.6</v>
      </c>
      <c r="N38" s="446">
        <v>2.5000000000000002E-10</v>
      </c>
      <c r="O38" s="445">
        <v>0.48</v>
      </c>
      <c r="P38" s="113">
        <v>0.94</v>
      </c>
    </row>
    <row r="39" spans="1:16" x14ac:dyDescent="0.25">
      <c r="A39" s="526" t="s">
        <v>142</v>
      </c>
      <c r="B39" s="528" t="s">
        <v>143</v>
      </c>
      <c r="C39" s="37" t="s">
        <v>940</v>
      </c>
      <c r="D39" s="113" t="s">
        <v>978</v>
      </c>
      <c r="E39" s="37" t="s">
        <v>2597</v>
      </c>
      <c r="F39" s="528">
        <v>-0.37054300000000001</v>
      </c>
      <c r="G39" s="529">
        <v>6.8899999999999999E-12</v>
      </c>
      <c r="H39" s="529">
        <v>6.9499999999999995E-5</v>
      </c>
      <c r="I39" s="528" t="s">
        <v>2552</v>
      </c>
      <c r="J39" s="527" t="s">
        <v>2598</v>
      </c>
      <c r="K39" s="447" t="s">
        <v>2599</v>
      </c>
      <c r="L39" s="113" t="s">
        <v>976</v>
      </c>
      <c r="M39" s="444">
        <v>0.56999999999999995</v>
      </c>
      <c r="N39" s="442">
        <v>2.6000000000000002E-29</v>
      </c>
      <c r="O39" s="530">
        <v>0.27</v>
      </c>
      <c r="P39" s="528">
        <v>0.57999999999999996</v>
      </c>
    </row>
    <row r="40" spans="1:16" x14ac:dyDescent="0.25">
      <c r="A40" s="526" t="s">
        <v>142</v>
      </c>
      <c r="B40" s="528" t="s">
        <v>143</v>
      </c>
      <c r="C40" s="37" t="s">
        <v>940</v>
      </c>
      <c r="D40" s="113" t="s">
        <v>978</v>
      </c>
      <c r="E40" s="37" t="s">
        <v>2418</v>
      </c>
      <c r="F40" s="528">
        <v>-0.19172600000000001</v>
      </c>
      <c r="G40" s="529">
        <v>7.2600000000000002E-8</v>
      </c>
      <c r="H40" s="529">
        <v>7.2299999999999996E-5</v>
      </c>
      <c r="I40" s="528" t="s">
        <v>2552</v>
      </c>
      <c r="J40" s="527" t="s">
        <v>2600</v>
      </c>
      <c r="K40" s="447" t="s">
        <v>2601</v>
      </c>
      <c r="L40" s="113" t="s">
        <v>974</v>
      </c>
      <c r="M40" s="444">
        <v>0.27</v>
      </c>
      <c r="N40" s="442">
        <v>1.6000000000000001E-14</v>
      </c>
      <c r="O40" s="530">
        <v>0.27</v>
      </c>
      <c r="P40" s="528">
        <v>0.57999999999999996</v>
      </c>
    </row>
    <row r="41" spans="1:16" x14ac:dyDescent="0.25">
      <c r="A41" s="526" t="s">
        <v>142</v>
      </c>
      <c r="B41" s="528" t="s">
        <v>143</v>
      </c>
      <c r="C41" s="37" t="s">
        <v>940</v>
      </c>
      <c r="D41" s="113" t="s">
        <v>978</v>
      </c>
      <c r="E41" s="37" t="s">
        <v>2597</v>
      </c>
      <c r="F41" s="528">
        <v>-0.29178999999999999</v>
      </c>
      <c r="G41" s="529">
        <v>4.2800000000000001E-9</v>
      </c>
      <c r="H41" s="529">
        <v>6.3499999999999999E-5</v>
      </c>
      <c r="I41" s="528" t="s">
        <v>2538</v>
      </c>
      <c r="J41" s="527" t="s">
        <v>2602</v>
      </c>
      <c r="K41" s="447" t="s">
        <v>2603</v>
      </c>
      <c r="L41" s="113" t="s">
        <v>983</v>
      </c>
      <c r="M41" s="444">
        <v>0.52</v>
      </c>
      <c r="N41" s="442">
        <v>1.8E-24</v>
      </c>
      <c r="O41" s="530">
        <v>0.25</v>
      </c>
      <c r="P41" s="528">
        <v>0.54</v>
      </c>
    </row>
    <row r="42" spans="1:16" x14ac:dyDescent="0.25">
      <c r="A42" s="526" t="s">
        <v>148</v>
      </c>
      <c r="B42" s="528" t="s">
        <v>149</v>
      </c>
      <c r="C42" s="37" t="s">
        <v>941</v>
      </c>
      <c r="D42" s="113" t="s">
        <v>2428</v>
      </c>
      <c r="E42" s="37" t="s">
        <v>941</v>
      </c>
      <c r="F42" s="528">
        <v>0.34220699999999998</v>
      </c>
      <c r="G42" s="529">
        <v>1.08E-9</v>
      </c>
      <c r="H42" s="529">
        <v>6.4300000000000004E-5</v>
      </c>
      <c r="I42" s="528" t="s">
        <v>2552</v>
      </c>
      <c r="J42" s="527" t="s">
        <v>2604</v>
      </c>
      <c r="K42" s="447" t="s">
        <v>2605</v>
      </c>
      <c r="L42" s="113" t="s">
        <v>974</v>
      </c>
      <c r="M42" s="444">
        <v>0.43</v>
      </c>
      <c r="N42" s="442">
        <v>5.4000000000000001E-11</v>
      </c>
      <c r="O42" s="530">
        <v>0.48</v>
      </c>
      <c r="P42" s="528">
        <v>0.95</v>
      </c>
    </row>
    <row r="43" spans="1:16" x14ac:dyDescent="0.25">
      <c r="A43" s="526" t="s">
        <v>148</v>
      </c>
      <c r="B43" s="528" t="s">
        <v>149</v>
      </c>
      <c r="C43" s="37" t="s">
        <v>941</v>
      </c>
      <c r="D43" s="113" t="s">
        <v>2428</v>
      </c>
      <c r="E43" s="37" t="s">
        <v>2606</v>
      </c>
      <c r="F43" s="528">
        <v>0.245089</v>
      </c>
      <c r="G43" s="529">
        <v>1.8499999999999999E-5</v>
      </c>
      <c r="H43" s="529">
        <v>7.0199999999999999E-5</v>
      </c>
      <c r="I43" s="528" t="s">
        <v>2552</v>
      </c>
      <c r="J43" s="527" t="s">
        <v>2607</v>
      </c>
      <c r="K43" s="447" t="s">
        <v>2608</v>
      </c>
      <c r="L43" s="113" t="s">
        <v>972</v>
      </c>
      <c r="M43" s="444">
        <v>0.33</v>
      </c>
      <c r="N43" s="442">
        <v>5.4999999999999996E-10</v>
      </c>
      <c r="O43" s="530">
        <v>0.41</v>
      </c>
      <c r="P43" s="528">
        <v>0.69</v>
      </c>
    </row>
    <row r="44" spans="1:16" s="28" customFormat="1" x14ac:dyDescent="0.25">
      <c r="A44" s="531" t="s">
        <v>148</v>
      </c>
      <c r="B44" s="831" t="s">
        <v>149</v>
      </c>
      <c r="C44" s="441" t="s">
        <v>941</v>
      </c>
      <c r="D44" s="454" t="s">
        <v>2428</v>
      </c>
      <c r="E44" s="441" t="s">
        <v>941</v>
      </c>
      <c r="F44" s="831">
        <v>0.39668999999999999</v>
      </c>
      <c r="G44" s="440">
        <v>2.7199999999999999E-8</v>
      </c>
      <c r="H44" s="440">
        <v>4.0099999999999999E-5</v>
      </c>
      <c r="I44" s="831" t="s">
        <v>2542</v>
      </c>
      <c r="J44" s="811" t="s">
        <v>2609</v>
      </c>
      <c r="K44" s="458" t="s">
        <v>2610</v>
      </c>
      <c r="L44" s="454" t="s">
        <v>979</v>
      </c>
      <c r="M44" s="439">
        <v>-0.42</v>
      </c>
      <c r="N44" s="438">
        <v>3.3999999999999998E-9</v>
      </c>
      <c r="O44" s="437">
        <v>0.91</v>
      </c>
      <c r="P44" s="831">
        <v>1</v>
      </c>
    </row>
    <row r="45" spans="1:16" x14ac:dyDescent="0.25">
      <c r="A45" s="526" t="s">
        <v>148</v>
      </c>
      <c r="B45" s="528" t="s">
        <v>149</v>
      </c>
      <c r="C45" s="37" t="s">
        <v>941</v>
      </c>
      <c r="D45" s="113" t="s">
        <v>2428</v>
      </c>
      <c r="E45" s="37" t="s">
        <v>2606</v>
      </c>
      <c r="F45" s="528">
        <v>0.24054300000000001</v>
      </c>
      <c r="G45" s="529">
        <v>1.52E-5</v>
      </c>
      <c r="H45" s="529">
        <v>5.1700000000000003E-5</v>
      </c>
      <c r="I45" s="528" t="s">
        <v>2538</v>
      </c>
      <c r="J45" s="527" t="s">
        <v>2611</v>
      </c>
      <c r="K45" s="447" t="s">
        <v>2612</v>
      </c>
      <c r="L45" s="113" t="s">
        <v>980</v>
      </c>
      <c r="M45" s="444">
        <v>0.53</v>
      </c>
      <c r="N45" s="442">
        <v>2.7E-10</v>
      </c>
      <c r="O45" s="530">
        <v>0.25</v>
      </c>
      <c r="P45" s="528">
        <v>1</v>
      </c>
    </row>
    <row r="46" spans="1:16" s="28" customFormat="1" x14ac:dyDescent="0.25">
      <c r="A46" s="531" t="s">
        <v>148</v>
      </c>
      <c r="B46" s="831" t="s">
        <v>149</v>
      </c>
      <c r="C46" s="441" t="s">
        <v>941</v>
      </c>
      <c r="D46" s="454" t="s">
        <v>2428</v>
      </c>
      <c r="E46" s="441" t="s">
        <v>941</v>
      </c>
      <c r="F46" s="831">
        <v>0.431257</v>
      </c>
      <c r="G46" s="440">
        <v>1.13E-5</v>
      </c>
      <c r="H46" s="440">
        <v>3.8399999999999998E-5</v>
      </c>
      <c r="I46" s="831" t="s">
        <v>2564</v>
      </c>
      <c r="J46" s="811" t="s">
        <v>2613</v>
      </c>
      <c r="K46" s="458" t="s">
        <v>2614</v>
      </c>
      <c r="L46" s="454" t="s">
        <v>980</v>
      </c>
      <c r="M46" s="439">
        <v>0.43</v>
      </c>
      <c r="N46" s="438">
        <v>5.8000000000000004E-6</v>
      </c>
      <c r="O46" s="437">
        <v>1</v>
      </c>
      <c r="P46" s="831">
        <v>1</v>
      </c>
    </row>
    <row r="47" spans="1:16" s="28" customFormat="1" x14ac:dyDescent="0.25">
      <c r="A47" s="531" t="s">
        <v>151</v>
      </c>
      <c r="B47" s="831" t="s">
        <v>152</v>
      </c>
      <c r="C47" s="441" t="s">
        <v>153</v>
      </c>
      <c r="D47" s="454" t="s">
        <v>979</v>
      </c>
      <c r="E47" s="441" t="s">
        <v>223</v>
      </c>
      <c r="F47" s="831">
        <v>-0.18531</v>
      </c>
      <c r="G47" s="440">
        <v>1.77E-5</v>
      </c>
      <c r="H47" s="440">
        <v>1.15239E-4</v>
      </c>
      <c r="I47" s="831" t="s">
        <v>2552</v>
      </c>
      <c r="J47" s="811" t="s">
        <v>2615</v>
      </c>
      <c r="K47" s="458" t="s">
        <v>2616</v>
      </c>
      <c r="L47" s="454" t="s">
        <v>974</v>
      </c>
      <c r="M47" s="439">
        <v>-0.2</v>
      </c>
      <c r="N47" s="438">
        <v>6.0000000000000002E-6</v>
      </c>
      <c r="O47" s="437">
        <v>0.88</v>
      </c>
      <c r="P47" s="831">
        <v>0.99</v>
      </c>
    </row>
    <row r="48" spans="1:16" x14ac:dyDescent="0.25">
      <c r="A48" s="526" t="s">
        <v>151</v>
      </c>
      <c r="B48" s="528" t="s">
        <v>152</v>
      </c>
      <c r="C48" s="37" t="s">
        <v>153</v>
      </c>
      <c r="D48" s="113" t="s">
        <v>979</v>
      </c>
      <c r="E48" s="37" t="s">
        <v>946</v>
      </c>
      <c r="F48" s="528">
        <v>0.32398199999999999</v>
      </c>
      <c r="G48" s="529">
        <v>2.3200000000000001E-5</v>
      </c>
      <c r="H48" s="529">
        <v>1.1746100000000001E-4</v>
      </c>
      <c r="I48" s="528" t="s">
        <v>2552</v>
      </c>
      <c r="J48" s="527" t="s">
        <v>2617</v>
      </c>
      <c r="K48" s="447" t="s">
        <v>2618</v>
      </c>
      <c r="L48" s="113" t="s">
        <v>980</v>
      </c>
      <c r="M48" s="443">
        <v>-0.91</v>
      </c>
      <c r="N48" s="442">
        <v>1.7E-51</v>
      </c>
      <c r="O48" s="530">
        <v>0.2</v>
      </c>
      <c r="P48" s="528">
        <v>0.68</v>
      </c>
    </row>
    <row r="49" spans="1:16" s="28" customFormat="1" x14ac:dyDescent="0.25">
      <c r="A49" s="531" t="s">
        <v>151</v>
      </c>
      <c r="B49" s="831" t="s">
        <v>152</v>
      </c>
      <c r="C49" s="441" t="s">
        <v>153</v>
      </c>
      <c r="D49" s="454" t="s">
        <v>979</v>
      </c>
      <c r="E49" s="460" t="s">
        <v>2619</v>
      </c>
      <c r="F49" s="831">
        <v>0.26406099999999999</v>
      </c>
      <c r="G49" s="440">
        <v>9.5699999999999999E-14</v>
      </c>
      <c r="H49" s="440">
        <v>1.04516E-4</v>
      </c>
      <c r="I49" s="831" t="s">
        <v>2552</v>
      </c>
      <c r="J49" s="811" t="s">
        <v>222</v>
      </c>
      <c r="K49" s="458" t="s">
        <v>221</v>
      </c>
      <c r="L49" s="454" t="s">
        <v>983</v>
      </c>
      <c r="M49" s="439">
        <v>0.31</v>
      </c>
      <c r="N49" s="438">
        <v>3.7000000000000003E-18</v>
      </c>
      <c r="O49" s="437">
        <v>0.86</v>
      </c>
      <c r="P49" s="831">
        <v>0.99</v>
      </c>
    </row>
    <row r="50" spans="1:16" x14ac:dyDescent="0.25">
      <c r="A50" s="526" t="s">
        <v>151</v>
      </c>
      <c r="B50" s="528" t="s">
        <v>152</v>
      </c>
      <c r="C50" s="37" t="s">
        <v>153</v>
      </c>
      <c r="D50" s="113" t="s">
        <v>979</v>
      </c>
      <c r="E50" s="37" t="s">
        <v>2437</v>
      </c>
      <c r="F50" s="528">
        <v>0.42748000000000003</v>
      </c>
      <c r="G50" s="529">
        <v>1.17E-14</v>
      </c>
      <c r="H50" s="529">
        <v>1.27973E-4</v>
      </c>
      <c r="I50" s="528" t="s">
        <v>2552</v>
      </c>
      <c r="J50" s="527" t="s">
        <v>2620</v>
      </c>
      <c r="K50" s="447" t="s">
        <v>2621</v>
      </c>
      <c r="L50" s="113" t="s">
        <v>980</v>
      </c>
      <c r="M50" s="444">
        <v>-0.42</v>
      </c>
      <c r="N50" s="442">
        <v>1.4000000000000001E-16</v>
      </c>
      <c r="O50" s="530">
        <v>0.39</v>
      </c>
      <c r="P50" s="528">
        <v>0.86</v>
      </c>
    </row>
    <row r="51" spans="1:16" x14ac:dyDescent="0.25">
      <c r="A51" s="526" t="s">
        <v>151</v>
      </c>
      <c r="B51" s="528" t="s">
        <v>152</v>
      </c>
      <c r="C51" s="37" t="s">
        <v>153</v>
      </c>
      <c r="D51" s="113" t="s">
        <v>979</v>
      </c>
      <c r="E51" s="37" t="s">
        <v>946</v>
      </c>
      <c r="F51" s="528">
        <v>0.51485700000000001</v>
      </c>
      <c r="G51" s="529">
        <v>2.9499999999999998E-7</v>
      </c>
      <c r="H51" s="529">
        <v>7.5199999999999998E-5</v>
      </c>
      <c r="I51" s="528" t="s">
        <v>2542</v>
      </c>
      <c r="J51" s="527" t="s">
        <v>2617</v>
      </c>
      <c r="K51" s="447" t="s">
        <v>2618</v>
      </c>
      <c r="L51" s="113" t="s">
        <v>980</v>
      </c>
      <c r="M51" s="444">
        <v>-0.93</v>
      </c>
      <c r="N51" s="442">
        <v>1.3999999999999999E-28</v>
      </c>
      <c r="O51" s="530">
        <v>0.2</v>
      </c>
      <c r="P51" s="528">
        <v>0.68</v>
      </c>
    </row>
    <row r="52" spans="1:16" s="28" customFormat="1" x14ac:dyDescent="0.25">
      <c r="A52" s="531" t="s">
        <v>151</v>
      </c>
      <c r="B52" s="454" t="s">
        <v>152</v>
      </c>
      <c r="C52" s="460" t="s">
        <v>153</v>
      </c>
      <c r="D52" s="454" t="s">
        <v>979</v>
      </c>
      <c r="E52" s="460" t="s">
        <v>2619</v>
      </c>
      <c r="F52" s="454">
        <v>0.15245900000000001</v>
      </c>
      <c r="G52" s="459">
        <v>3.9700000000000003E-5</v>
      </c>
      <c r="H52" s="459">
        <v>8.1799999999999996E-5</v>
      </c>
      <c r="I52" s="454" t="s">
        <v>2542</v>
      </c>
      <c r="J52" s="532" t="s">
        <v>2622</v>
      </c>
      <c r="K52" s="458" t="s">
        <v>2623</v>
      </c>
      <c r="L52" s="454" t="s">
        <v>978</v>
      </c>
      <c r="M52" s="457">
        <v>0.17</v>
      </c>
      <c r="N52" s="456">
        <v>1.3E-6</v>
      </c>
      <c r="O52" s="455">
        <v>0.88</v>
      </c>
      <c r="P52" s="454">
        <v>0.99</v>
      </c>
    </row>
    <row r="53" spans="1:16" x14ac:dyDescent="0.25">
      <c r="A53" s="526" t="s">
        <v>151</v>
      </c>
      <c r="B53" s="528" t="s">
        <v>152</v>
      </c>
      <c r="C53" s="37" t="s">
        <v>153</v>
      </c>
      <c r="D53" s="113" t="s">
        <v>979</v>
      </c>
      <c r="E53" s="37" t="s">
        <v>2437</v>
      </c>
      <c r="F53" s="528">
        <v>0.30210199999999998</v>
      </c>
      <c r="G53" s="529">
        <v>6.41E-5</v>
      </c>
      <c r="H53" s="529">
        <v>6.8899999999999994E-5</v>
      </c>
      <c r="I53" s="528" t="s">
        <v>2542</v>
      </c>
      <c r="J53" s="527" t="s">
        <v>2624</v>
      </c>
      <c r="K53" s="447" t="s">
        <v>2625</v>
      </c>
      <c r="L53" s="113" t="s">
        <v>979</v>
      </c>
      <c r="M53" s="444">
        <v>0.33</v>
      </c>
      <c r="N53" s="442">
        <v>2.6000000000000001E-6</v>
      </c>
      <c r="O53" s="530">
        <v>0.4</v>
      </c>
      <c r="P53" s="528">
        <v>0.87</v>
      </c>
    </row>
    <row r="54" spans="1:16" s="28" customFormat="1" x14ac:dyDescent="0.25">
      <c r="A54" s="531" t="s">
        <v>151</v>
      </c>
      <c r="B54" s="831" t="s">
        <v>152</v>
      </c>
      <c r="C54" s="441" t="s">
        <v>153</v>
      </c>
      <c r="D54" s="454" t="s">
        <v>979</v>
      </c>
      <c r="E54" s="441" t="s">
        <v>223</v>
      </c>
      <c r="F54" s="831">
        <v>-0.222219</v>
      </c>
      <c r="G54" s="440">
        <v>3.1599999999999998E-6</v>
      </c>
      <c r="H54" s="440">
        <v>7.7299999999999995E-5</v>
      </c>
      <c r="I54" s="831" t="s">
        <v>2538</v>
      </c>
      <c r="J54" s="811" t="s">
        <v>2626</v>
      </c>
      <c r="K54" s="458" t="s">
        <v>2627</v>
      </c>
      <c r="L54" s="454" t="s">
        <v>972</v>
      </c>
      <c r="M54" s="439">
        <v>0.25</v>
      </c>
      <c r="N54" s="438">
        <v>9.2999999999999999E-8</v>
      </c>
      <c r="O54" s="437">
        <v>1</v>
      </c>
      <c r="P54" s="831">
        <v>1</v>
      </c>
    </row>
    <row r="55" spans="1:16" x14ac:dyDescent="0.25">
      <c r="A55" s="526" t="s">
        <v>151</v>
      </c>
      <c r="B55" s="528" t="s">
        <v>152</v>
      </c>
      <c r="C55" s="37" t="s">
        <v>153</v>
      </c>
      <c r="D55" s="113" t="s">
        <v>979</v>
      </c>
      <c r="E55" s="37" t="s">
        <v>946</v>
      </c>
      <c r="F55" s="528">
        <v>0.324044</v>
      </c>
      <c r="G55" s="529">
        <v>2.04E-6</v>
      </c>
      <c r="H55" s="529">
        <v>9.59E-5</v>
      </c>
      <c r="I55" s="528" t="s">
        <v>2538</v>
      </c>
      <c r="J55" s="527" t="s">
        <v>2628</v>
      </c>
      <c r="K55" s="447" t="s">
        <v>2629</v>
      </c>
      <c r="L55" s="113" t="s">
        <v>972</v>
      </c>
      <c r="M55" s="444">
        <v>-0.66</v>
      </c>
      <c r="N55" s="442">
        <v>5.8000000000000005E-29</v>
      </c>
      <c r="O55" s="530">
        <v>0.23</v>
      </c>
      <c r="P55" s="528">
        <v>0.7</v>
      </c>
    </row>
    <row r="56" spans="1:16" x14ac:dyDescent="0.25">
      <c r="A56" s="526" t="s">
        <v>151</v>
      </c>
      <c r="B56" s="528" t="s">
        <v>152</v>
      </c>
      <c r="C56" s="37" t="s">
        <v>153</v>
      </c>
      <c r="D56" s="113" t="s">
        <v>979</v>
      </c>
      <c r="E56" s="37" t="s">
        <v>2619</v>
      </c>
      <c r="F56" s="528">
        <v>0.15188099999999999</v>
      </c>
      <c r="G56" s="529">
        <v>2.48E-7</v>
      </c>
      <c r="H56" s="529">
        <v>9.2999999999999997E-5</v>
      </c>
      <c r="I56" s="528" t="s">
        <v>2538</v>
      </c>
      <c r="J56" s="527" t="s">
        <v>2630</v>
      </c>
      <c r="K56" s="447" t="s">
        <v>2631</v>
      </c>
      <c r="L56" s="113" t="s">
        <v>979</v>
      </c>
      <c r="M56" s="444">
        <v>-0.17</v>
      </c>
      <c r="N56" s="442">
        <v>7.9999999999999995E-11</v>
      </c>
      <c r="O56" s="530">
        <v>0.49</v>
      </c>
      <c r="P56" s="528">
        <v>0.87</v>
      </c>
    </row>
    <row r="57" spans="1:16" s="28" customFormat="1" x14ac:dyDescent="0.25">
      <c r="A57" s="531" t="s">
        <v>151</v>
      </c>
      <c r="B57" s="831" t="s">
        <v>152</v>
      </c>
      <c r="C57" s="441" t="s">
        <v>153</v>
      </c>
      <c r="D57" s="454" t="s">
        <v>979</v>
      </c>
      <c r="E57" s="441" t="s">
        <v>2437</v>
      </c>
      <c r="F57" s="831">
        <v>0.294595</v>
      </c>
      <c r="G57" s="440">
        <v>6.2399999999999999E-5</v>
      </c>
      <c r="H57" s="440">
        <v>7.3700000000000002E-5</v>
      </c>
      <c r="I57" s="831" t="s">
        <v>2564</v>
      </c>
      <c r="J57" s="811" t="s">
        <v>2632</v>
      </c>
      <c r="K57" s="458" t="s">
        <v>2633</v>
      </c>
      <c r="L57" s="454" t="s">
        <v>983</v>
      </c>
      <c r="M57" s="439">
        <v>0.38</v>
      </c>
      <c r="N57" s="438">
        <v>3.3999999999999997E-7</v>
      </c>
      <c r="O57" s="437">
        <v>0.89</v>
      </c>
      <c r="P57" s="831">
        <v>0.99</v>
      </c>
    </row>
    <row r="58" spans="1:16" s="28" customFormat="1" x14ac:dyDescent="0.25">
      <c r="A58" s="531" t="s">
        <v>221</v>
      </c>
      <c r="B58" s="831" t="s">
        <v>222</v>
      </c>
      <c r="C58" s="441" t="s">
        <v>223</v>
      </c>
      <c r="D58" s="454" t="s">
        <v>983</v>
      </c>
      <c r="E58" s="441" t="s">
        <v>223</v>
      </c>
      <c r="F58" s="831">
        <v>-0.19045999999999999</v>
      </c>
      <c r="G58" s="440">
        <v>1.2300000000000001E-5</v>
      </c>
      <c r="H58" s="440">
        <v>1.15239E-4</v>
      </c>
      <c r="I58" s="831" t="s">
        <v>2552</v>
      </c>
      <c r="J58" s="811" t="s">
        <v>2615</v>
      </c>
      <c r="K58" s="458" t="s">
        <v>2616</v>
      </c>
      <c r="L58" s="454" t="s">
        <v>974</v>
      </c>
      <c r="M58" s="439">
        <v>-0.2</v>
      </c>
      <c r="N58" s="438">
        <v>6.0000000000000002E-6</v>
      </c>
      <c r="O58" s="437">
        <v>0.96</v>
      </c>
      <c r="P58" s="831">
        <v>1</v>
      </c>
    </row>
    <row r="59" spans="1:16" x14ac:dyDescent="0.25">
      <c r="A59" s="526" t="s">
        <v>221</v>
      </c>
      <c r="B59" s="528" t="s">
        <v>222</v>
      </c>
      <c r="C59" s="37" t="s">
        <v>223</v>
      </c>
      <c r="D59" s="113" t="s">
        <v>983</v>
      </c>
      <c r="E59" s="37" t="s">
        <v>946</v>
      </c>
      <c r="F59" s="528">
        <v>0.39405200000000001</v>
      </c>
      <c r="G59" s="529">
        <v>2.7500000000000001E-7</v>
      </c>
      <c r="H59" s="529">
        <v>1.1746100000000001E-4</v>
      </c>
      <c r="I59" s="528" t="s">
        <v>2552</v>
      </c>
      <c r="J59" s="527" t="s">
        <v>2617</v>
      </c>
      <c r="K59" s="447" t="s">
        <v>2618</v>
      </c>
      <c r="L59" s="113" t="s">
        <v>980</v>
      </c>
      <c r="M59" s="444">
        <v>-0.91</v>
      </c>
      <c r="N59" s="442">
        <v>1.7E-51</v>
      </c>
      <c r="O59" s="530">
        <v>0.24</v>
      </c>
      <c r="P59" s="528">
        <v>0.81</v>
      </c>
    </row>
    <row r="60" spans="1:16" s="28" customFormat="1" x14ac:dyDescent="0.25">
      <c r="A60" s="531" t="s">
        <v>221</v>
      </c>
      <c r="B60" s="831" t="s">
        <v>222</v>
      </c>
      <c r="C60" s="441" t="s">
        <v>223</v>
      </c>
      <c r="D60" s="454" t="s">
        <v>983</v>
      </c>
      <c r="E60" s="441" t="s">
        <v>2619</v>
      </c>
      <c r="F60" s="831">
        <v>0.30518600000000001</v>
      </c>
      <c r="G60" s="440">
        <v>3.7400000000000001E-18</v>
      </c>
      <c r="H60" s="440">
        <v>1.04516E-4</v>
      </c>
      <c r="I60" s="831" t="s">
        <v>2552</v>
      </c>
      <c r="J60" s="811" t="s">
        <v>222</v>
      </c>
      <c r="K60" s="458" t="s">
        <v>221</v>
      </c>
      <c r="L60" s="454" t="s">
        <v>983</v>
      </c>
      <c r="M60" s="439">
        <v>0.31</v>
      </c>
      <c r="N60" s="438">
        <v>3.7000000000000003E-18</v>
      </c>
      <c r="O60" s="437">
        <v>1</v>
      </c>
      <c r="P60" s="831">
        <v>1</v>
      </c>
    </row>
    <row r="61" spans="1:16" x14ac:dyDescent="0.25">
      <c r="A61" s="526" t="s">
        <v>221</v>
      </c>
      <c r="B61" s="528" t="s">
        <v>222</v>
      </c>
      <c r="C61" s="37" t="s">
        <v>223</v>
      </c>
      <c r="D61" s="113" t="s">
        <v>983</v>
      </c>
      <c r="E61" s="37" t="s">
        <v>2437</v>
      </c>
      <c r="F61" s="528">
        <v>0.42981599999999998</v>
      </c>
      <c r="G61" s="529">
        <v>1.5399999999999999E-14</v>
      </c>
      <c r="H61" s="529">
        <v>1.27973E-4</v>
      </c>
      <c r="I61" s="528" t="s">
        <v>2552</v>
      </c>
      <c r="J61" s="527" t="s">
        <v>2620</v>
      </c>
      <c r="K61" s="447" t="s">
        <v>2621</v>
      </c>
      <c r="L61" s="113" t="s">
        <v>980</v>
      </c>
      <c r="M61" s="444">
        <v>-0.42</v>
      </c>
      <c r="N61" s="442">
        <v>1.4000000000000001E-16</v>
      </c>
      <c r="O61" s="530">
        <v>0.45</v>
      </c>
      <c r="P61" s="528">
        <v>0.99</v>
      </c>
    </row>
    <row r="62" spans="1:16" x14ac:dyDescent="0.25">
      <c r="A62" s="526" t="s">
        <v>221</v>
      </c>
      <c r="B62" s="528" t="s">
        <v>222</v>
      </c>
      <c r="C62" s="37" t="s">
        <v>223</v>
      </c>
      <c r="D62" s="113" t="s">
        <v>983</v>
      </c>
      <c r="E62" s="37" t="s">
        <v>946</v>
      </c>
      <c r="F62" s="528">
        <v>0.50124400000000002</v>
      </c>
      <c r="G62" s="529">
        <v>5.06E-7</v>
      </c>
      <c r="H62" s="529">
        <v>7.5199999999999998E-5</v>
      </c>
      <c r="I62" s="528" t="s">
        <v>2542</v>
      </c>
      <c r="J62" s="527" t="s">
        <v>2617</v>
      </c>
      <c r="K62" s="447" t="s">
        <v>2618</v>
      </c>
      <c r="L62" s="113" t="s">
        <v>980</v>
      </c>
      <c r="M62" s="444">
        <v>-0.93</v>
      </c>
      <c r="N62" s="442">
        <v>1.3999999999999999E-28</v>
      </c>
      <c r="O62" s="530">
        <v>0.24</v>
      </c>
      <c r="P62" s="528">
        <v>0.81</v>
      </c>
    </row>
    <row r="63" spans="1:16" s="28" customFormat="1" x14ac:dyDescent="0.25">
      <c r="A63" s="531" t="s">
        <v>221</v>
      </c>
      <c r="B63" s="831" t="s">
        <v>222</v>
      </c>
      <c r="C63" s="441" t="s">
        <v>223</v>
      </c>
      <c r="D63" s="454" t="s">
        <v>983</v>
      </c>
      <c r="E63" s="441" t="s">
        <v>223</v>
      </c>
      <c r="F63" s="831">
        <v>-0.218332</v>
      </c>
      <c r="G63" s="440">
        <v>6.5300000000000002E-6</v>
      </c>
      <c r="H63" s="440">
        <v>7.7299999999999995E-5</v>
      </c>
      <c r="I63" s="831" t="s">
        <v>2538</v>
      </c>
      <c r="J63" s="811" t="s">
        <v>2626</v>
      </c>
      <c r="K63" s="458" t="s">
        <v>2627</v>
      </c>
      <c r="L63" s="454" t="s">
        <v>972</v>
      </c>
      <c r="M63" s="439">
        <v>0.25</v>
      </c>
      <c r="N63" s="438">
        <v>9.2999999999999999E-8</v>
      </c>
      <c r="O63" s="437">
        <v>0.85</v>
      </c>
      <c r="P63" s="831">
        <v>0.99</v>
      </c>
    </row>
    <row r="64" spans="1:16" x14ac:dyDescent="0.25">
      <c r="A64" s="526" t="s">
        <v>221</v>
      </c>
      <c r="B64" s="528" t="s">
        <v>222</v>
      </c>
      <c r="C64" s="37" t="s">
        <v>223</v>
      </c>
      <c r="D64" s="113" t="s">
        <v>983</v>
      </c>
      <c r="E64" s="37" t="s">
        <v>2442</v>
      </c>
      <c r="F64" s="528">
        <v>-0.28726400000000002</v>
      </c>
      <c r="G64" s="529">
        <v>1.33E-5</v>
      </c>
      <c r="H64" s="529">
        <v>9.2999999999999997E-5</v>
      </c>
      <c r="I64" s="528" t="s">
        <v>2538</v>
      </c>
      <c r="J64" s="527" t="s">
        <v>2444</v>
      </c>
      <c r="K64" s="447" t="s">
        <v>2443</v>
      </c>
      <c r="L64" s="113" t="s">
        <v>986</v>
      </c>
      <c r="M64" s="444">
        <v>-1.1000000000000001</v>
      </c>
      <c r="N64" s="442">
        <v>8.6999999999999998E-97</v>
      </c>
      <c r="O64" s="530">
        <v>0.04</v>
      </c>
      <c r="P64" s="528">
        <v>0.23</v>
      </c>
    </row>
    <row r="65" spans="1:16" x14ac:dyDescent="0.25">
      <c r="A65" s="526" t="s">
        <v>221</v>
      </c>
      <c r="B65" s="528" t="s">
        <v>222</v>
      </c>
      <c r="C65" s="37" t="s">
        <v>223</v>
      </c>
      <c r="D65" s="113" t="s">
        <v>983</v>
      </c>
      <c r="E65" s="37" t="s">
        <v>946</v>
      </c>
      <c r="F65" s="528">
        <v>0.350939</v>
      </c>
      <c r="G65" s="529">
        <v>3.72E-7</v>
      </c>
      <c r="H65" s="529">
        <v>9.59E-5</v>
      </c>
      <c r="I65" s="528" t="s">
        <v>2538</v>
      </c>
      <c r="J65" s="527" t="s">
        <v>2628</v>
      </c>
      <c r="K65" s="447" t="s">
        <v>2629</v>
      </c>
      <c r="L65" s="113" t="s">
        <v>972</v>
      </c>
      <c r="M65" s="444">
        <v>-0.66</v>
      </c>
      <c r="N65" s="442">
        <v>5.8000000000000005E-29</v>
      </c>
      <c r="O65" s="530">
        <v>0.27</v>
      </c>
      <c r="P65" s="528">
        <v>0.82</v>
      </c>
    </row>
    <row r="66" spans="1:16" x14ac:dyDescent="0.25">
      <c r="A66" s="526" t="s">
        <v>221</v>
      </c>
      <c r="B66" s="528" t="s">
        <v>222</v>
      </c>
      <c r="C66" s="37" t="s">
        <v>223</v>
      </c>
      <c r="D66" s="113" t="s">
        <v>983</v>
      </c>
      <c r="E66" s="37" t="s">
        <v>2619</v>
      </c>
      <c r="F66" s="528">
        <v>0.17826</v>
      </c>
      <c r="G66" s="529">
        <v>1.8300000000000001E-9</v>
      </c>
      <c r="H66" s="529">
        <v>9.2999999999999997E-5</v>
      </c>
      <c r="I66" s="528" t="s">
        <v>2538</v>
      </c>
      <c r="J66" s="527" t="s">
        <v>2630</v>
      </c>
      <c r="K66" s="447" t="s">
        <v>2631</v>
      </c>
      <c r="L66" s="113" t="s">
        <v>979</v>
      </c>
      <c r="M66" s="444">
        <v>-0.17</v>
      </c>
      <c r="N66" s="442">
        <v>7.9999999999999995E-11</v>
      </c>
      <c r="O66" s="530">
        <v>0.56000000000000005</v>
      </c>
      <c r="P66" s="528">
        <v>1</v>
      </c>
    </row>
    <row r="67" spans="1:16" s="28" customFormat="1" x14ac:dyDescent="0.25">
      <c r="A67" s="531" t="s">
        <v>221</v>
      </c>
      <c r="B67" s="831" t="s">
        <v>222</v>
      </c>
      <c r="C67" s="441" t="s">
        <v>223</v>
      </c>
      <c r="D67" s="454" t="s">
        <v>983</v>
      </c>
      <c r="E67" s="441" t="s">
        <v>2437</v>
      </c>
      <c r="F67" s="831">
        <v>0.33758100000000002</v>
      </c>
      <c r="G67" s="440">
        <v>8.4300000000000006E-6</v>
      </c>
      <c r="H67" s="440">
        <v>7.3700000000000002E-5</v>
      </c>
      <c r="I67" s="831" t="s">
        <v>2564</v>
      </c>
      <c r="J67" s="811" t="s">
        <v>2632</v>
      </c>
      <c r="K67" s="458" t="s">
        <v>2633</v>
      </c>
      <c r="L67" s="454" t="s">
        <v>983</v>
      </c>
      <c r="M67" s="439">
        <v>0.38</v>
      </c>
      <c r="N67" s="438">
        <v>3.3999999999999997E-7</v>
      </c>
      <c r="O67" s="437">
        <v>0.97</v>
      </c>
      <c r="P67" s="831">
        <v>1</v>
      </c>
    </row>
    <row r="68" spans="1:16" x14ac:dyDescent="0.25">
      <c r="A68" s="526" t="s">
        <v>160</v>
      </c>
      <c r="B68" s="528" t="s">
        <v>161</v>
      </c>
      <c r="C68" s="37" t="s">
        <v>948</v>
      </c>
      <c r="D68" s="113" t="s">
        <v>976</v>
      </c>
      <c r="E68" s="37" t="s">
        <v>2453</v>
      </c>
      <c r="F68" s="528">
        <v>-0.172845</v>
      </c>
      <c r="G68" s="529">
        <v>1.73E-5</v>
      </c>
      <c r="H68" s="529">
        <v>4.8900000000000003E-5</v>
      </c>
      <c r="I68" s="528" t="s">
        <v>2552</v>
      </c>
      <c r="J68" s="527" t="s">
        <v>2634</v>
      </c>
      <c r="K68" s="447" t="s">
        <v>2635</v>
      </c>
      <c r="L68" s="113" t="s">
        <v>986</v>
      </c>
      <c r="M68" s="444">
        <v>-0.28000000000000003</v>
      </c>
      <c r="N68" s="442">
        <v>3.1E-14</v>
      </c>
      <c r="O68" s="530">
        <v>0.34</v>
      </c>
      <c r="P68" s="528">
        <v>0.75</v>
      </c>
    </row>
    <row r="69" spans="1:16" x14ac:dyDescent="0.25">
      <c r="A69" s="526" t="s">
        <v>160</v>
      </c>
      <c r="B69" s="528" t="s">
        <v>161</v>
      </c>
      <c r="C69" s="37" t="s">
        <v>948</v>
      </c>
      <c r="D69" s="113" t="s">
        <v>976</v>
      </c>
      <c r="E69" s="37" t="s">
        <v>2445</v>
      </c>
      <c r="F69" s="528">
        <v>-0.50477399999999994</v>
      </c>
      <c r="G69" s="529">
        <v>7.9300000000000007E-15</v>
      </c>
      <c r="H69" s="529">
        <v>4.3000000000000002E-5</v>
      </c>
      <c r="I69" s="528" t="s">
        <v>2552</v>
      </c>
      <c r="J69" s="527" t="s">
        <v>2636</v>
      </c>
      <c r="K69" s="447" t="s">
        <v>2637</v>
      </c>
      <c r="L69" s="113" t="s">
        <v>979</v>
      </c>
      <c r="M69" s="444">
        <v>-0.69</v>
      </c>
      <c r="N69" s="442">
        <v>5.3000000000000002E-38</v>
      </c>
      <c r="O69" s="530">
        <v>0.48</v>
      </c>
      <c r="P69" s="528">
        <v>0.82</v>
      </c>
    </row>
    <row r="70" spans="1:16" x14ac:dyDescent="0.25">
      <c r="A70" s="526" t="s">
        <v>160</v>
      </c>
      <c r="B70" s="528" t="s">
        <v>161</v>
      </c>
      <c r="C70" s="37" t="s">
        <v>948</v>
      </c>
      <c r="D70" s="113" t="s">
        <v>976</v>
      </c>
      <c r="E70" s="37" t="s">
        <v>2638</v>
      </c>
      <c r="F70" s="528">
        <v>0.21810099999999999</v>
      </c>
      <c r="G70" s="529">
        <v>1.1799999999999999E-6</v>
      </c>
      <c r="H70" s="529">
        <v>4.1399999999999997E-5</v>
      </c>
      <c r="I70" s="528" t="s">
        <v>2538</v>
      </c>
      <c r="J70" s="527" t="s">
        <v>2639</v>
      </c>
      <c r="K70" s="447" t="s">
        <v>2640</v>
      </c>
      <c r="L70" s="113" t="s">
        <v>976</v>
      </c>
      <c r="M70" s="444">
        <v>0.35</v>
      </c>
      <c r="N70" s="442">
        <v>2.9999999999999999E-19</v>
      </c>
      <c r="O70" s="530">
        <v>0.48</v>
      </c>
      <c r="P70" s="528">
        <v>0.82</v>
      </c>
    </row>
    <row r="71" spans="1:16" x14ac:dyDescent="0.25">
      <c r="A71" s="526" t="s">
        <v>160</v>
      </c>
      <c r="B71" s="528" t="s">
        <v>161</v>
      </c>
      <c r="C71" s="37" t="s">
        <v>948</v>
      </c>
      <c r="D71" s="113" t="s">
        <v>976</v>
      </c>
      <c r="E71" s="37" t="s">
        <v>2445</v>
      </c>
      <c r="F71" s="528">
        <v>-0.63700599999999996</v>
      </c>
      <c r="G71" s="529">
        <v>5.1700000000000001E-20</v>
      </c>
      <c r="H71" s="529">
        <v>4.2400000000000001E-5</v>
      </c>
      <c r="I71" s="528" t="s">
        <v>2538</v>
      </c>
      <c r="J71" s="527" t="s">
        <v>2641</v>
      </c>
      <c r="K71" s="447" t="s">
        <v>2642</v>
      </c>
      <c r="L71" s="113" t="s">
        <v>975</v>
      </c>
      <c r="M71" s="444">
        <v>-0.93</v>
      </c>
      <c r="N71" s="442">
        <v>1.5000000000000001E-53</v>
      </c>
      <c r="O71" s="530">
        <v>0.33</v>
      </c>
      <c r="P71" s="528">
        <v>0.74</v>
      </c>
    </row>
    <row r="72" spans="1:16" x14ac:dyDescent="0.25">
      <c r="A72" s="526" t="s">
        <v>160</v>
      </c>
      <c r="B72" s="528" t="s">
        <v>161</v>
      </c>
      <c r="C72" s="37" t="s">
        <v>948</v>
      </c>
      <c r="D72" s="113" t="s">
        <v>976</v>
      </c>
      <c r="E72" s="37" t="s">
        <v>2445</v>
      </c>
      <c r="F72" s="528">
        <v>-0.42803200000000002</v>
      </c>
      <c r="G72" s="529">
        <v>6.0399999999999998E-6</v>
      </c>
      <c r="H72" s="529">
        <v>3.4100000000000002E-5</v>
      </c>
      <c r="I72" s="528" t="s">
        <v>2564</v>
      </c>
      <c r="J72" s="527" t="s">
        <v>2643</v>
      </c>
      <c r="K72" s="447" t="s">
        <v>2644</v>
      </c>
      <c r="L72" s="113" t="s">
        <v>974</v>
      </c>
      <c r="M72" s="444">
        <v>-0.6</v>
      </c>
      <c r="N72" s="442">
        <v>7.3999999999999998E-13</v>
      </c>
      <c r="O72" s="530">
        <v>0.48</v>
      </c>
      <c r="P72" s="528">
        <v>0.82</v>
      </c>
    </row>
    <row r="73" spans="1:16" x14ac:dyDescent="0.25">
      <c r="A73" s="526" t="s">
        <v>163</v>
      </c>
      <c r="B73" s="528" t="s">
        <v>164</v>
      </c>
      <c r="C73" s="37" t="s">
        <v>949</v>
      </c>
      <c r="D73" s="113" t="s">
        <v>974</v>
      </c>
      <c r="E73" s="37" t="s">
        <v>2453</v>
      </c>
      <c r="F73" s="528">
        <v>-0.172739</v>
      </c>
      <c r="G73" s="529">
        <v>1.91E-5</v>
      </c>
      <c r="H73" s="529">
        <v>4.8900000000000003E-5</v>
      </c>
      <c r="I73" s="528" t="s">
        <v>2552</v>
      </c>
      <c r="J73" s="527" t="s">
        <v>2634</v>
      </c>
      <c r="K73" s="447" t="s">
        <v>2635</v>
      </c>
      <c r="L73" s="113" t="s">
        <v>986</v>
      </c>
      <c r="M73" s="444">
        <v>-0.28000000000000003</v>
      </c>
      <c r="N73" s="442">
        <v>3.1E-14</v>
      </c>
      <c r="O73" s="530">
        <v>0.5</v>
      </c>
      <c r="P73" s="528">
        <v>0.76</v>
      </c>
    </row>
    <row r="74" spans="1:16" x14ac:dyDescent="0.25">
      <c r="A74" s="526" t="s">
        <v>163</v>
      </c>
      <c r="B74" s="528" t="s">
        <v>164</v>
      </c>
      <c r="C74" s="37" t="s">
        <v>949</v>
      </c>
      <c r="D74" s="113" t="s">
        <v>974</v>
      </c>
      <c r="E74" s="37" t="s">
        <v>2445</v>
      </c>
      <c r="F74" s="528">
        <v>-0.44238</v>
      </c>
      <c r="G74" s="529">
        <v>2.4200000000000001E-11</v>
      </c>
      <c r="H74" s="529">
        <v>4.3000000000000002E-5</v>
      </c>
      <c r="I74" s="528" t="s">
        <v>2552</v>
      </c>
      <c r="J74" s="527" t="s">
        <v>2636</v>
      </c>
      <c r="K74" s="447" t="s">
        <v>2637</v>
      </c>
      <c r="L74" s="113" t="s">
        <v>979</v>
      </c>
      <c r="M74" s="444">
        <v>-0.69</v>
      </c>
      <c r="N74" s="442">
        <v>5.3000000000000002E-38</v>
      </c>
      <c r="O74" s="530">
        <v>0.34</v>
      </c>
      <c r="P74" s="528">
        <v>0.59</v>
      </c>
    </row>
    <row r="75" spans="1:16" x14ac:dyDescent="0.25">
      <c r="A75" s="526" t="s">
        <v>163</v>
      </c>
      <c r="B75" s="528" t="s">
        <v>164</v>
      </c>
      <c r="C75" s="37" t="s">
        <v>949</v>
      </c>
      <c r="D75" s="113" t="s">
        <v>974</v>
      </c>
      <c r="E75" s="37" t="s">
        <v>2638</v>
      </c>
      <c r="F75" s="528">
        <v>0.19740099999999999</v>
      </c>
      <c r="G75" s="529">
        <v>9.0599999999999997E-6</v>
      </c>
      <c r="H75" s="529">
        <v>4.1399999999999997E-5</v>
      </c>
      <c r="I75" s="528" t="s">
        <v>2538</v>
      </c>
      <c r="J75" s="527" t="s">
        <v>2639</v>
      </c>
      <c r="K75" s="447" t="s">
        <v>2640</v>
      </c>
      <c r="L75" s="113" t="s">
        <v>976</v>
      </c>
      <c r="M75" s="444">
        <v>0.35</v>
      </c>
      <c r="N75" s="442">
        <v>2.9999999999999999E-19</v>
      </c>
      <c r="O75" s="530">
        <v>0.34</v>
      </c>
      <c r="P75" s="528">
        <v>0.59</v>
      </c>
    </row>
    <row r="76" spans="1:16" x14ac:dyDescent="0.25">
      <c r="A76" s="526" t="s">
        <v>163</v>
      </c>
      <c r="B76" s="528" t="s">
        <v>164</v>
      </c>
      <c r="C76" s="37" t="s">
        <v>949</v>
      </c>
      <c r="D76" s="113" t="s">
        <v>974</v>
      </c>
      <c r="E76" s="37" t="s">
        <v>2453</v>
      </c>
      <c r="F76" s="528">
        <v>-0.204822</v>
      </c>
      <c r="G76" s="529">
        <v>2.69E-5</v>
      </c>
      <c r="H76" s="529">
        <v>3.9700000000000003E-5</v>
      </c>
      <c r="I76" s="528" t="s">
        <v>2538</v>
      </c>
      <c r="J76" s="527" t="s">
        <v>2645</v>
      </c>
      <c r="K76" s="447" t="s">
        <v>2646</v>
      </c>
      <c r="L76" s="113" t="s">
        <v>980</v>
      </c>
      <c r="M76" s="444">
        <v>0.75</v>
      </c>
      <c r="N76" s="442">
        <v>3.2000000000000002E-17</v>
      </c>
      <c r="O76" s="530">
        <v>0.09</v>
      </c>
      <c r="P76" s="528">
        <v>0.91</v>
      </c>
    </row>
    <row r="77" spans="1:16" x14ac:dyDescent="0.25">
      <c r="A77" s="526" t="s">
        <v>163</v>
      </c>
      <c r="B77" s="528" t="s">
        <v>164</v>
      </c>
      <c r="C77" s="37" t="s">
        <v>949</v>
      </c>
      <c r="D77" s="113" t="s">
        <v>974</v>
      </c>
      <c r="E77" s="37" t="s">
        <v>2445</v>
      </c>
      <c r="F77" s="528">
        <v>-0.73076700000000006</v>
      </c>
      <c r="G77" s="529">
        <v>9.2200000000000007E-28</v>
      </c>
      <c r="H77" s="529">
        <v>4.2400000000000001E-5</v>
      </c>
      <c r="I77" s="528" t="s">
        <v>2538</v>
      </c>
      <c r="J77" s="527" t="s">
        <v>2641</v>
      </c>
      <c r="K77" s="447" t="s">
        <v>2642</v>
      </c>
      <c r="L77" s="113" t="s">
        <v>975</v>
      </c>
      <c r="M77" s="444">
        <v>-0.93</v>
      </c>
      <c r="N77" s="442">
        <v>1.5000000000000001E-53</v>
      </c>
      <c r="O77" s="530">
        <v>0.49</v>
      </c>
      <c r="P77" s="528">
        <v>0.75</v>
      </c>
    </row>
    <row r="78" spans="1:16" x14ac:dyDescent="0.25">
      <c r="A78" s="526" t="s">
        <v>163</v>
      </c>
      <c r="B78" s="528" t="s">
        <v>164</v>
      </c>
      <c r="C78" s="37" t="s">
        <v>949</v>
      </c>
      <c r="D78" s="113" t="s">
        <v>974</v>
      </c>
      <c r="E78" s="37" t="s">
        <v>2445</v>
      </c>
      <c r="F78" s="528">
        <v>-0.48127599999999998</v>
      </c>
      <c r="G78" s="529">
        <v>3.3900000000000002E-6</v>
      </c>
      <c r="H78" s="529">
        <v>3.4100000000000002E-5</v>
      </c>
      <c r="I78" s="528" t="s">
        <v>2564</v>
      </c>
      <c r="J78" s="527" t="s">
        <v>2643</v>
      </c>
      <c r="K78" s="447" t="s">
        <v>2644</v>
      </c>
      <c r="L78" s="113" t="s">
        <v>974</v>
      </c>
      <c r="M78" s="444">
        <v>-0.6</v>
      </c>
      <c r="N78" s="442">
        <v>7.3999999999999998E-13</v>
      </c>
      <c r="O78" s="530">
        <v>0.34</v>
      </c>
      <c r="P78" s="528">
        <v>0.59</v>
      </c>
    </row>
    <row r="79" spans="1:16" x14ac:dyDescent="0.25">
      <c r="A79" s="526" t="s">
        <v>166</v>
      </c>
      <c r="B79" s="528" t="s">
        <v>167</v>
      </c>
      <c r="C79" s="37" t="s">
        <v>950</v>
      </c>
      <c r="D79" s="113" t="s">
        <v>986</v>
      </c>
      <c r="E79" s="37" t="s">
        <v>2453</v>
      </c>
      <c r="F79" s="528">
        <v>-0.219337</v>
      </c>
      <c r="G79" s="529">
        <v>3.8600000000000003E-9</v>
      </c>
      <c r="H79" s="529">
        <v>4.8900000000000003E-5</v>
      </c>
      <c r="I79" s="528" t="s">
        <v>2552</v>
      </c>
      <c r="J79" s="527" t="s">
        <v>2634</v>
      </c>
      <c r="K79" s="447" t="s">
        <v>2635</v>
      </c>
      <c r="L79" s="113" t="s">
        <v>986</v>
      </c>
      <c r="M79" s="444">
        <v>-0.28000000000000003</v>
      </c>
      <c r="N79" s="442">
        <v>3.1E-14</v>
      </c>
      <c r="O79" s="530">
        <v>0.75</v>
      </c>
      <c r="P79" s="528">
        <v>0.9</v>
      </c>
    </row>
    <row r="80" spans="1:16" x14ac:dyDescent="0.25">
      <c r="A80" s="526" t="s">
        <v>166</v>
      </c>
      <c r="B80" s="528" t="s">
        <v>167</v>
      </c>
      <c r="C80" s="37" t="s">
        <v>950</v>
      </c>
      <c r="D80" s="113" t="s">
        <v>986</v>
      </c>
      <c r="E80" s="37" t="s">
        <v>2445</v>
      </c>
      <c r="F80" s="528">
        <v>-0.5282</v>
      </c>
      <c r="G80" s="529">
        <v>1.62E-18</v>
      </c>
      <c r="H80" s="529">
        <v>4.3000000000000002E-5</v>
      </c>
      <c r="I80" s="528" t="s">
        <v>2552</v>
      </c>
      <c r="J80" s="527" t="s">
        <v>2636</v>
      </c>
      <c r="K80" s="447" t="s">
        <v>2637</v>
      </c>
      <c r="L80" s="113" t="s">
        <v>979</v>
      </c>
      <c r="M80" s="444">
        <v>-0.69</v>
      </c>
      <c r="N80" s="442">
        <v>5.3000000000000002E-38</v>
      </c>
      <c r="O80" s="530">
        <v>0.54</v>
      </c>
      <c r="P80" s="528">
        <v>0.76</v>
      </c>
    </row>
    <row r="81" spans="1:16" x14ac:dyDescent="0.25">
      <c r="A81" s="526" t="s">
        <v>166</v>
      </c>
      <c r="B81" s="528" t="s">
        <v>167</v>
      </c>
      <c r="C81" s="37" t="s">
        <v>950</v>
      </c>
      <c r="D81" s="113" t="s">
        <v>986</v>
      </c>
      <c r="E81" s="37" t="s">
        <v>2445</v>
      </c>
      <c r="F81" s="528">
        <v>-0.52488199999999996</v>
      </c>
      <c r="G81" s="529">
        <v>2.0499999999999999E-10</v>
      </c>
      <c r="H81" s="529">
        <v>2.7100000000000001E-5</v>
      </c>
      <c r="I81" s="528" t="s">
        <v>2542</v>
      </c>
      <c r="J81" s="535" t="s">
        <v>2647</v>
      </c>
      <c r="K81" s="447" t="s">
        <v>2648</v>
      </c>
      <c r="L81" s="113" t="s">
        <v>975</v>
      </c>
      <c r="M81" s="444">
        <v>-0.65</v>
      </c>
      <c r="N81" s="442">
        <v>1.7000000000000001E-19</v>
      </c>
      <c r="O81" s="530">
        <v>0.53</v>
      </c>
      <c r="P81" s="528">
        <v>0.75</v>
      </c>
    </row>
    <row r="82" spans="1:16" x14ac:dyDescent="0.25">
      <c r="A82" s="526" t="s">
        <v>166</v>
      </c>
      <c r="B82" s="528" t="s">
        <v>167</v>
      </c>
      <c r="C82" s="37" t="s">
        <v>950</v>
      </c>
      <c r="D82" s="113" t="s">
        <v>986</v>
      </c>
      <c r="E82" s="37" t="s">
        <v>2638</v>
      </c>
      <c r="F82" s="528">
        <v>0.24177199999999999</v>
      </c>
      <c r="G82" s="529">
        <v>5.4400000000000002E-9</v>
      </c>
      <c r="H82" s="529">
        <v>4.1399999999999997E-5</v>
      </c>
      <c r="I82" s="528" t="s">
        <v>2538</v>
      </c>
      <c r="J82" s="527" t="s">
        <v>2639</v>
      </c>
      <c r="K82" s="447" t="s">
        <v>2640</v>
      </c>
      <c r="L82" s="113" t="s">
        <v>976</v>
      </c>
      <c r="M82" s="444">
        <v>0.35</v>
      </c>
      <c r="N82" s="442">
        <v>2.9999999999999999E-19</v>
      </c>
      <c r="O82" s="530">
        <v>0.54</v>
      </c>
      <c r="P82" s="528">
        <v>0.75</v>
      </c>
    </row>
    <row r="83" spans="1:16" x14ac:dyDescent="0.25">
      <c r="A83" s="526" t="s">
        <v>166</v>
      </c>
      <c r="B83" s="528" t="s">
        <v>167</v>
      </c>
      <c r="C83" s="37" t="s">
        <v>950</v>
      </c>
      <c r="D83" s="113" t="s">
        <v>986</v>
      </c>
      <c r="E83" s="37" t="s">
        <v>2453</v>
      </c>
      <c r="F83" s="528">
        <v>-0.234291</v>
      </c>
      <c r="G83" s="529">
        <v>2.8799999999999998E-7</v>
      </c>
      <c r="H83" s="529">
        <v>3.9700000000000003E-5</v>
      </c>
      <c r="I83" s="528" t="s">
        <v>2538</v>
      </c>
      <c r="J83" s="527" t="s">
        <v>2645</v>
      </c>
      <c r="K83" s="447" t="s">
        <v>2646</v>
      </c>
      <c r="L83" s="113" t="s">
        <v>980</v>
      </c>
      <c r="M83" s="444">
        <v>0.75</v>
      </c>
      <c r="N83" s="442">
        <v>3.2000000000000002E-17</v>
      </c>
      <c r="O83" s="530">
        <v>0.09</v>
      </c>
      <c r="P83" s="528">
        <v>0.94</v>
      </c>
    </row>
    <row r="84" spans="1:16" x14ac:dyDescent="0.25">
      <c r="A84" s="526" t="s">
        <v>166</v>
      </c>
      <c r="B84" s="528" t="s">
        <v>167</v>
      </c>
      <c r="C84" s="37" t="s">
        <v>950</v>
      </c>
      <c r="D84" s="113" t="s">
        <v>986</v>
      </c>
      <c r="E84" s="37" t="s">
        <v>950</v>
      </c>
      <c r="F84" s="528">
        <v>0.17815</v>
      </c>
      <c r="G84" s="529">
        <v>4.3599999999999998E-6</v>
      </c>
      <c r="H84" s="529">
        <v>4.0000000000000003E-5</v>
      </c>
      <c r="I84" s="528" t="s">
        <v>2538</v>
      </c>
      <c r="J84" s="527" t="s">
        <v>2649</v>
      </c>
      <c r="K84" s="447" t="s">
        <v>2650</v>
      </c>
      <c r="L84" s="113" t="s">
        <v>978</v>
      </c>
      <c r="M84" s="444">
        <v>0.23</v>
      </c>
      <c r="N84" s="442">
        <v>1.0999999999999999E-9</v>
      </c>
      <c r="O84" s="530">
        <v>0.69</v>
      </c>
      <c r="P84" s="528">
        <v>0.92</v>
      </c>
    </row>
    <row r="85" spans="1:16" x14ac:dyDescent="0.25">
      <c r="A85" s="526" t="s">
        <v>166</v>
      </c>
      <c r="B85" s="528" t="s">
        <v>167</v>
      </c>
      <c r="C85" s="37" t="s">
        <v>950</v>
      </c>
      <c r="D85" s="113" t="s">
        <v>986</v>
      </c>
      <c r="E85" s="37" t="s">
        <v>2445</v>
      </c>
      <c r="F85" s="528">
        <v>-0.80737499999999995</v>
      </c>
      <c r="G85" s="529">
        <v>9.540000000000001E-41</v>
      </c>
      <c r="H85" s="529">
        <v>4.2400000000000001E-5</v>
      </c>
      <c r="I85" s="528" t="s">
        <v>2538</v>
      </c>
      <c r="J85" s="527" t="s">
        <v>2641</v>
      </c>
      <c r="K85" s="447" t="s">
        <v>2642</v>
      </c>
      <c r="L85" s="113" t="s">
        <v>975</v>
      </c>
      <c r="M85" s="444">
        <v>-0.93</v>
      </c>
      <c r="N85" s="442">
        <v>1.5000000000000001E-53</v>
      </c>
      <c r="O85" s="530">
        <v>0.73</v>
      </c>
      <c r="P85" s="528">
        <v>0.89</v>
      </c>
    </row>
    <row r="86" spans="1:16" x14ac:dyDescent="0.25">
      <c r="A86" s="526" t="s">
        <v>166</v>
      </c>
      <c r="B86" s="528" t="s">
        <v>167</v>
      </c>
      <c r="C86" s="37" t="s">
        <v>950</v>
      </c>
      <c r="D86" s="113" t="s">
        <v>986</v>
      </c>
      <c r="E86" s="37" t="s">
        <v>2445</v>
      </c>
      <c r="F86" s="528">
        <v>-0.42480200000000001</v>
      </c>
      <c r="G86" s="529">
        <v>3.3799999999999998E-6</v>
      </c>
      <c r="H86" s="529">
        <v>3.4100000000000002E-5</v>
      </c>
      <c r="I86" s="528" t="s">
        <v>2564</v>
      </c>
      <c r="J86" s="527" t="s">
        <v>2643</v>
      </c>
      <c r="K86" s="447" t="s">
        <v>2644</v>
      </c>
      <c r="L86" s="113" t="s">
        <v>974</v>
      </c>
      <c r="M86" s="444">
        <v>-0.6</v>
      </c>
      <c r="N86" s="442">
        <v>7.3999999999999998E-13</v>
      </c>
      <c r="O86" s="530">
        <v>0.54</v>
      </c>
      <c r="P86" s="528">
        <v>0.76</v>
      </c>
    </row>
    <row r="87" spans="1:16" x14ac:dyDescent="0.25">
      <c r="A87" s="526" t="s">
        <v>169</v>
      </c>
      <c r="B87" s="113" t="s">
        <v>170</v>
      </c>
      <c r="C87" s="448" t="s">
        <v>171</v>
      </c>
      <c r="D87" s="113" t="s">
        <v>983</v>
      </c>
      <c r="E87" s="448" t="s">
        <v>2651</v>
      </c>
      <c r="F87" s="113">
        <v>-0.417213</v>
      </c>
      <c r="G87" s="114">
        <v>2.4399999999999999E-6</v>
      </c>
      <c r="H87" s="114">
        <v>1.9760099999999999E-4</v>
      </c>
      <c r="I87" s="113" t="s">
        <v>2552</v>
      </c>
      <c r="J87" s="534" t="s">
        <v>2652</v>
      </c>
      <c r="K87" s="447" t="s">
        <v>2653</v>
      </c>
      <c r="L87" s="113" t="s">
        <v>2269</v>
      </c>
      <c r="M87" s="241">
        <v>-0.39</v>
      </c>
      <c r="N87" s="453">
        <v>1.0999999999999999E-8</v>
      </c>
      <c r="O87" s="445">
        <v>0.36</v>
      </c>
      <c r="P87" s="113">
        <v>1</v>
      </c>
    </row>
    <row r="88" spans="1:16" s="28" customFormat="1" ht="15.75" thickBot="1" x14ac:dyDescent="0.3">
      <c r="A88" s="531" t="s">
        <v>169</v>
      </c>
      <c r="B88" s="831" t="s">
        <v>170</v>
      </c>
      <c r="C88" s="441" t="s">
        <v>171</v>
      </c>
      <c r="D88" s="454" t="s">
        <v>983</v>
      </c>
      <c r="E88" s="441" t="s">
        <v>171</v>
      </c>
      <c r="F88" s="831">
        <v>0.58588300000000004</v>
      </c>
      <c r="G88" s="440">
        <v>3.8999999999999999E-6</v>
      </c>
      <c r="H88" s="440">
        <v>2.00008E-4</v>
      </c>
      <c r="I88" s="831" t="s">
        <v>2552</v>
      </c>
      <c r="J88" s="811" t="s">
        <v>2654</v>
      </c>
      <c r="K88" s="458" t="s">
        <v>2655</v>
      </c>
      <c r="L88" s="454" t="s">
        <v>986</v>
      </c>
      <c r="M88" s="439">
        <v>0.57999999999999996</v>
      </c>
      <c r="N88" s="449">
        <v>1.1999999999999999E-6</v>
      </c>
      <c r="O88" s="437">
        <v>0.97</v>
      </c>
      <c r="P88" s="831">
        <v>1</v>
      </c>
    </row>
    <row r="89" spans="1:16" s="28" customFormat="1" x14ac:dyDescent="0.25">
      <c r="A89" s="531" t="s">
        <v>169</v>
      </c>
      <c r="B89" s="831" t="s">
        <v>170</v>
      </c>
      <c r="C89" s="441" t="s">
        <v>171</v>
      </c>
      <c r="D89" s="454" t="s">
        <v>983</v>
      </c>
      <c r="E89" s="441" t="s">
        <v>171</v>
      </c>
      <c r="F89" s="831">
        <v>0.64795000000000003</v>
      </c>
      <c r="G89" s="440">
        <v>4.9E-9</v>
      </c>
      <c r="H89" s="440">
        <v>1.32046E-4</v>
      </c>
      <c r="I89" s="831" t="s">
        <v>2542</v>
      </c>
      <c r="J89" s="811" t="s">
        <v>2656</v>
      </c>
      <c r="K89" s="458" t="s">
        <v>2657</v>
      </c>
      <c r="L89" s="454" t="s">
        <v>979</v>
      </c>
      <c r="M89" s="450">
        <v>0.65</v>
      </c>
      <c r="N89" s="449">
        <v>4.8E-9</v>
      </c>
      <c r="O89" s="437">
        <v>1</v>
      </c>
      <c r="P89" s="831">
        <v>1</v>
      </c>
    </row>
    <row r="90" spans="1:16" s="28" customFormat="1" x14ac:dyDescent="0.25">
      <c r="A90" s="531" t="s">
        <v>169</v>
      </c>
      <c r="B90" s="831" t="s">
        <v>170</v>
      </c>
      <c r="C90" s="441" t="s">
        <v>171</v>
      </c>
      <c r="D90" s="454" t="s">
        <v>983</v>
      </c>
      <c r="E90" s="441" t="s">
        <v>171</v>
      </c>
      <c r="F90" s="831">
        <v>1.0542499999999999</v>
      </c>
      <c r="G90" s="440">
        <v>1.3999999999999999E-17</v>
      </c>
      <c r="H90" s="440">
        <v>1.4338900000000001E-4</v>
      </c>
      <c r="I90" s="831" t="s">
        <v>2538</v>
      </c>
      <c r="J90" s="811" t="s">
        <v>2656</v>
      </c>
      <c r="K90" s="458" t="s">
        <v>2657</v>
      </c>
      <c r="L90" s="454" t="s">
        <v>979</v>
      </c>
      <c r="M90" s="439">
        <v>1.1000000000000001</v>
      </c>
      <c r="N90" s="449">
        <v>1.3E-17</v>
      </c>
      <c r="O90" s="437">
        <v>1</v>
      </c>
      <c r="P90" s="831">
        <v>1</v>
      </c>
    </row>
    <row r="91" spans="1:16" s="28" customFormat="1" x14ac:dyDescent="0.25">
      <c r="A91" s="531" t="s">
        <v>169</v>
      </c>
      <c r="B91" s="831" t="s">
        <v>170</v>
      </c>
      <c r="C91" s="441" t="s">
        <v>171</v>
      </c>
      <c r="D91" s="454" t="s">
        <v>983</v>
      </c>
      <c r="E91" s="441" t="s">
        <v>171</v>
      </c>
      <c r="F91" s="831">
        <v>-1.4878199999999999</v>
      </c>
      <c r="G91" s="440">
        <v>3.1699999999999998E-15</v>
      </c>
      <c r="H91" s="440">
        <v>1.45878E-4</v>
      </c>
      <c r="I91" s="831" t="s">
        <v>2564</v>
      </c>
      <c r="J91" s="811" t="s">
        <v>2658</v>
      </c>
      <c r="K91" s="458" t="s">
        <v>2659</v>
      </c>
      <c r="L91" s="454" t="s">
        <v>978</v>
      </c>
      <c r="M91" s="452">
        <v>-1.5</v>
      </c>
      <c r="N91" s="449">
        <v>3.0999999999999999E-15</v>
      </c>
      <c r="O91" s="437">
        <v>0.98</v>
      </c>
      <c r="P91" s="831">
        <v>1</v>
      </c>
    </row>
    <row r="92" spans="1:16" x14ac:dyDescent="0.25">
      <c r="A92" s="526" t="s">
        <v>174</v>
      </c>
      <c r="B92" s="528" t="s">
        <v>175</v>
      </c>
      <c r="C92" s="37" t="s">
        <v>171</v>
      </c>
      <c r="D92" s="113" t="s">
        <v>980</v>
      </c>
      <c r="E92" s="37" t="s">
        <v>2651</v>
      </c>
      <c r="F92" s="528">
        <v>-0.41702</v>
      </c>
      <c r="G92" s="529">
        <v>2.4499999999999998E-6</v>
      </c>
      <c r="H92" s="529">
        <v>1.9760099999999999E-4</v>
      </c>
      <c r="I92" s="528" t="s">
        <v>2552</v>
      </c>
      <c r="J92" s="527" t="s">
        <v>2652</v>
      </c>
      <c r="K92" s="447" t="s">
        <v>2653</v>
      </c>
      <c r="L92" s="113" t="s">
        <v>2269</v>
      </c>
      <c r="M92" s="444">
        <v>-0.39</v>
      </c>
      <c r="N92" s="451">
        <v>1.0999999999999999E-8</v>
      </c>
      <c r="O92" s="530">
        <v>0.36</v>
      </c>
      <c r="P92" s="528">
        <v>1</v>
      </c>
    </row>
    <row r="93" spans="1:16" s="28" customFormat="1" ht="15.75" thickBot="1" x14ac:dyDescent="0.3">
      <c r="A93" s="531" t="s">
        <v>174</v>
      </c>
      <c r="B93" s="831" t="s">
        <v>175</v>
      </c>
      <c r="C93" s="441" t="s">
        <v>171</v>
      </c>
      <c r="D93" s="454" t="s">
        <v>980</v>
      </c>
      <c r="E93" s="441" t="s">
        <v>171</v>
      </c>
      <c r="F93" s="831">
        <v>0.58557599999999999</v>
      </c>
      <c r="G93" s="440">
        <v>3.9299999999999996E-6</v>
      </c>
      <c r="H93" s="440">
        <v>2.00008E-4</v>
      </c>
      <c r="I93" s="831" t="s">
        <v>2552</v>
      </c>
      <c r="J93" s="811" t="s">
        <v>2654</v>
      </c>
      <c r="K93" s="458" t="s">
        <v>2655</v>
      </c>
      <c r="L93" s="454" t="s">
        <v>986</v>
      </c>
      <c r="M93" s="439">
        <v>0.57999999999999996</v>
      </c>
      <c r="N93" s="449">
        <v>1.1999999999999999E-6</v>
      </c>
      <c r="O93" s="437">
        <v>0.98</v>
      </c>
      <c r="P93" s="831">
        <v>1</v>
      </c>
    </row>
    <row r="94" spans="1:16" s="28" customFormat="1" x14ac:dyDescent="0.25">
      <c r="A94" s="531" t="s">
        <v>174</v>
      </c>
      <c r="B94" s="831" t="s">
        <v>175</v>
      </c>
      <c r="C94" s="441" t="s">
        <v>171</v>
      </c>
      <c r="D94" s="454" t="s">
        <v>980</v>
      </c>
      <c r="E94" s="441" t="s">
        <v>171</v>
      </c>
      <c r="F94" s="831">
        <v>0.64795000000000003</v>
      </c>
      <c r="G94" s="440">
        <v>4.9E-9</v>
      </c>
      <c r="H94" s="440">
        <v>1.32046E-4</v>
      </c>
      <c r="I94" s="831" t="s">
        <v>2542</v>
      </c>
      <c r="J94" s="811" t="s">
        <v>2656</v>
      </c>
      <c r="K94" s="458" t="s">
        <v>2657</v>
      </c>
      <c r="L94" s="454" t="s">
        <v>979</v>
      </c>
      <c r="M94" s="450">
        <v>0.65</v>
      </c>
      <c r="N94" s="449">
        <v>4.8E-9</v>
      </c>
      <c r="O94" s="437">
        <v>1</v>
      </c>
      <c r="P94" s="831">
        <v>1</v>
      </c>
    </row>
    <row r="95" spans="1:16" s="28" customFormat="1" x14ac:dyDescent="0.25">
      <c r="A95" s="531" t="s">
        <v>174</v>
      </c>
      <c r="B95" s="831" t="s">
        <v>175</v>
      </c>
      <c r="C95" s="441" t="s">
        <v>171</v>
      </c>
      <c r="D95" s="454" t="s">
        <v>980</v>
      </c>
      <c r="E95" s="441" t="s">
        <v>171</v>
      </c>
      <c r="F95" s="831">
        <v>1.0539099999999999</v>
      </c>
      <c r="G95" s="440">
        <v>1.41E-17</v>
      </c>
      <c r="H95" s="440">
        <v>1.4338900000000001E-4</v>
      </c>
      <c r="I95" s="831" t="s">
        <v>2538</v>
      </c>
      <c r="J95" s="811" t="s">
        <v>2656</v>
      </c>
      <c r="K95" s="458" t="s">
        <v>2657</v>
      </c>
      <c r="L95" s="454" t="s">
        <v>979</v>
      </c>
      <c r="M95" s="439">
        <v>1.1000000000000001</v>
      </c>
      <c r="N95" s="449">
        <v>1.3E-17</v>
      </c>
      <c r="O95" s="437">
        <v>1</v>
      </c>
      <c r="P95" s="831">
        <v>1</v>
      </c>
    </row>
    <row r="96" spans="1:16" s="28" customFormat="1" x14ac:dyDescent="0.25">
      <c r="A96" s="531" t="s">
        <v>174</v>
      </c>
      <c r="B96" s="831" t="s">
        <v>175</v>
      </c>
      <c r="C96" s="441" t="s">
        <v>171</v>
      </c>
      <c r="D96" s="454" t="s">
        <v>980</v>
      </c>
      <c r="E96" s="441" t="s">
        <v>171</v>
      </c>
      <c r="F96" s="831">
        <v>-1.4878199999999999</v>
      </c>
      <c r="G96" s="440">
        <v>3.1699999999999998E-15</v>
      </c>
      <c r="H96" s="440">
        <v>1.45878E-4</v>
      </c>
      <c r="I96" s="831" t="s">
        <v>2564</v>
      </c>
      <c r="J96" s="811" t="s">
        <v>2658</v>
      </c>
      <c r="K96" s="458" t="s">
        <v>2659</v>
      </c>
      <c r="L96" s="454" t="s">
        <v>978</v>
      </c>
      <c r="M96" s="439">
        <v>-1.5</v>
      </c>
      <c r="N96" s="449">
        <v>3.0999999999999999E-15</v>
      </c>
      <c r="O96" s="437">
        <v>0.98</v>
      </c>
      <c r="P96" s="831">
        <v>1</v>
      </c>
    </row>
    <row r="97" spans="1:16" x14ac:dyDescent="0.25">
      <c r="A97" s="526" t="s">
        <v>204</v>
      </c>
      <c r="B97" s="528" t="s">
        <v>205</v>
      </c>
      <c r="C97" s="37" t="s">
        <v>206</v>
      </c>
      <c r="D97" s="113" t="s">
        <v>974</v>
      </c>
      <c r="E97" s="37" t="s">
        <v>206</v>
      </c>
      <c r="F97" s="528">
        <v>-0.268982</v>
      </c>
      <c r="G97" s="529">
        <v>5.8700000000000003E-8</v>
      </c>
      <c r="H97" s="529">
        <v>9.8200000000000002E-5</v>
      </c>
      <c r="I97" s="528" t="s">
        <v>2552</v>
      </c>
      <c r="J97" s="536" t="s">
        <v>2660</v>
      </c>
      <c r="K97" s="447" t="s">
        <v>2661</v>
      </c>
      <c r="L97" s="113" t="s">
        <v>975</v>
      </c>
      <c r="M97" s="444">
        <v>-0.37</v>
      </c>
      <c r="N97" s="442">
        <v>5.9000000000000002E-16</v>
      </c>
      <c r="O97" s="530">
        <v>0.61</v>
      </c>
      <c r="P97" s="528">
        <v>0.94</v>
      </c>
    </row>
    <row r="98" spans="1:16" x14ac:dyDescent="0.25">
      <c r="A98" s="526" t="s">
        <v>177</v>
      </c>
      <c r="B98" s="113" t="s">
        <v>178</v>
      </c>
      <c r="C98" s="448" t="s">
        <v>957</v>
      </c>
      <c r="D98" s="113" t="s">
        <v>980</v>
      </c>
      <c r="E98" s="448" t="s">
        <v>2662</v>
      </c>
      <c r="F98" s="113">
        <v>-0.28848800000000002</v>
      </c>
      <c r="G98" s="114">
        <v>9.0699999999999996E-7</v>
      </c>
      <c r="H98" s="114">
        <v>3.79E-5</v>
      </c>
      <c r="I98" s="113" t="s">
        <v>2538</v>
      </c>
      <c r="J98" s="537" t="s">
        <v>2663</v>
      </c>
      <c r="K98" s="447" t="s">
        <v>2664</v>
      </c>
      <c r="L98" s="113" t="s">
        <v>975</v>
      </c>
      <c r="M98" s="241">
        <v>-0.3</v>
      </c>
      <c r="N98" s="446">
        <v>1.0999999999999999E-8</v>
      </c>
      <c r="O98" s="445">
        <v>0.12</v>
      </c>
      <c r="P98" s="113">
        <v>0.79</v>
      </c>
    </row>
    <row r="99" spans="1:16" x14ac:dyDescent="0.25">
      <c r="A99" s="526" t="s">
        <v>177</v>
      </c>
      <c r="B99" s="528" t="s">
        <v>178</v>
      </c>
      <c r="C99" s="37" t="s">
        <v>957</v>
      </c>
      <c r="D99" s="113" t="s">
        <v>980</v>
      </c>
      <c r="E99" s="37" t="s">
        <v>958</v>
      </c>
      <c r="F99" s="528">
        <v>0.20285500000000001</v>
      </c>
      <c r="G99" s="529">
        <v>1.7499999999999998E-5</v>
      </c>
      <c r="H99" s="529">
        <v>3.8600000000000003E-5</v>
      </c>
      <c r="I99" s="528" t="s">
        <v>2538</v>
      </c>
      <c r="J99" s="536" t="s">
        <v>2665</v>
      </c>
      <c r="K99" s="447" t="s">
        <v>2666</v>
      </c>
      <c r="L99" s="113" t="s">
        <v>978</v>
      </c>
      <c r="M99" s="444">
        <v>0.26</v>
      </c>
      <c r="N99" s="442">
        <v>4.1000000000000003E-9</v>
      </c>
      <c r="O99" s="530">
        <v>0.4</v>
      </c>
      <c r="P99" s="528">
        <v>0.66</v>
      </c>
    </row>
    <row r="100" spans="1:16" x14ac:dyDescent="0.25">
      <c r="A100" s="526" t="s">
        <v>181</v>
      </c>
      <c r="B100" s="528" t="s">
        <v>182</v>
      </c>
      <c r="C100" s="37" t="s">
        <v>958</v>
      </c>
      <c r="D100" s="113" t="s">
        <v>975</v>
      </c>
      <c r="E100" s="37" t="s">
        <v>2662</v>
      </c>
      <c r="F100" s="528">
        <v>-0.28730800000000001</v>
      </c>
      <c r="G100" s="529">
        <v>8.85E-7</v>
      </c>
      <c r="H100" s="529">
        <v>3.79E-5</v>
      </c>
      <c r="I100" s="528" t="s">
        <v>2538</v>
      </c>
      <c r="J100" s="536" t="s">
        <v>2663</v>
      </c>
      <c r="K100" s="447" t="s">
        <v>2664</v>
      </c>
      <c r="L100" s="113" t="s">
        <v>975</v>
      </c>
      <c r="M100" s="444">
        <v>-0.3</v>
      </c>
      <c r="N100" s="442">
        <v>1.0999999999999999E-8</v>
      </c>
      <c r="O100" s="530">
        <v>0.12</v>
      </c>
      <c r="P100" s="528">
        <v>0.79</v>
      </c>
    </row>
    <row r="101" spans="1:16" x14ac:dyDescent="0.25">
      <c r="A101" s="526" t="s">
        <v>181</v>
      </c>
      <c r="B101" s="528" t="s">
        <v>182</v>
      </c>
      <c r="C101" s="37" t="s">
        <v>958</v>
      </c>
      <c r="D101" s="113" t="s">
        <v>975</v>
      </c>
      <c r="E101" s="37" t="s">
        <v>958</v>
      </c>
      <c r="F101" s="528">
        <v>0.246368</v>
      </c>
      <c r="G101" s="529">
        <v>1.2800000000000001E-7</v>
      </c>
      <c r="H101" s="529">
        <v>3.8600000000000003E-5</v>
      </c>
      <c r="I101" s="528" t="s">
        <v>2538</v>
      </c>
      <c r="J101" s="536" t="s">
        <v>2665</v>
      </c>
      <c r="K101" s="447" t="s">
        <v>2666</v>
      </c>
      <c r="L101" s="113" t="s">
        <v>978</v>
      </c>
      <c r="M101" s="444">
        <v>0.26</v>
      </c>
      <c r="N101" s="442">
        <v>4.1000000000000003E-9</v>
      </c>
      <c r="O101" s="530">
        <v>0.4</v>
      </c>
      <c r="P101" s="528">
        <v>0.66</v>
      </c>
    </row>
    <row r="102" spans="1:16" x14ac:dyDescent="0.25">
      <c r="A102" s="526" t="s">
        <v>184</v>
      </c>
      <c r="B102" s="528" t="s">
        <v>185</v>
      </c>
      <c r="C102" s="37" t="s">
        <v>186</v>
      </c>
      <c r="D102" s="113" t="s">
        <v>980</v>
      </c>
      <c r="E102" s="37" t="s">
        <v>2667</v>
      </c>
      <c r="F102" s="528">
        <v>0.13178699999999999</v>
      </c>
      <c r="G102" s="529">
        <v>5.82E-7</v>
      </c>
      <c r="H102" s="529">
        <v>3.93E-5</v>
      </c>
      <c r="I102" s="528" t="s">
        <v>2538</v>
      </c>
      <c r="J102" s="527" t="s">
        <v>2668</v>
      </c>
      <c r="K102" s="447" t="s">
        <v>2669</v>
      </c>
      <c r="L102" s="113" t="s">
        <v>976</v>
      </c>
      <c r="M102" s="443">
        <v>0.17</v>
      </c>
      <c r="N102" s="442">
        <v>1.4E-11</v>
      </c>
      <c r="O102" s="530">
        <v>0.74</v>
      </c>
      <c r="P102" s="528">
        <v>0.98</v>
      </c>
    </row>
    <row r="103" spans="1:16" x14ac:dyDescent="0.25">
      <c r="A103" s="526" t="s">
        <v>184</v>
      </c>
      <c r="B103" s="528" t="s">
        <v>185</v>
      </c>
      <c r="C103" s="37" t="s">
        <v>186</v>
      </c>
      <c r="D103" s="113" t="s">
        <v>980</v>
      </c>
      <c r="E103" s="37" t="s">
        <v>2670</v>
      </c>
      <c r="F103" s="528">
        <v>-0.74303799999999998</v>
      </c>
      <c r="G103" s="529">
        <v>8.9199999999999998E-15</v>
      </c>
      <c r="H103" s="529">
        <v>3.3899999999999997E-5</v>
      </c>
      <c r="I103" s="528" t="s">
        <v>2564</v>
      </c>
      <c r="J103" s="527" t="s">
        <v>2671</v>
      </c>
      <c r="K103" s="447" t="s">
        <v>2672</v>
      </c>
      <c r="L103" s="113" t="s">
        <v>975</v>
      </c>
      <c r="M103" s="444">
        <v>-0.94</v>
      </c>
      <c r="N103" s="442">
        <v>3.2999999999999998E-25</v>
      </c>
      <c r="O103" s="530">
        <v>0.66</v>
      </c>
      <c r="P103" s="528">
        <v>0.87</v>
      </c>
    </row>
    <row r="104" spans="1:16" x14ac:dyDescent="0.25">
      <c r="A104" s="526" t="s">
        <v>188</v>
      </c>
      <c r="B104" s="528" t="s">
        <v>189</v>
      </c>
      <c r="C104" s="37" t="s">
        <v>190</v>
      </c>
      <c r="D104" s="113" t="s">
        <v>980</v>
      </c>
      <c r="E104" s="37" t="s">
        <v>190</v>
      </c>
      <c r="F104" s="528">
        <v>-0.55231600000000003</v>
      </c>
      <c r="G104" s="529">
        <v>3.2600000000000002E-16</v>
      </c>
      <c r="H104" s="529">
        <v>5.0399999999999999E-5</v>
      </c>
      <c r="I104" s="528" t="s">
        <v>2552</v>
      </c>
      <c r="J104" s="527" t="s">
        <v>2673</v>
      </c>
      <c r="K104" s="447" t="s">
        <v>2674</v>
      </c>
      <c r="L104" s="113" t="s">
        <v>980</v>
      </c>
      <c r="M104" s="444">
        <v>0.92</v>
      </c>
      <c r="N104" s="442">
        <v>5.2000000000000001E-18</v>
      </c>
      <c r="O104" s="530">
        <v>0.08</v>
      </c>
      <c r="P104" s="528">
        <v>1</v>
      </c>
    </row>
    <row r="105" spans="1:16" x14ac:dyDescent="0.25">
      <c r="A105" s="526" t="s">
        <v>188</v>
      </c>
      <c r="B105" s="528" t="s">
        <v>189</v>
      </c>
      <c r="C105" s="37" t="s">
        <v>190</v>
      </c>
      <c r="D105" s="113" t="s">
        <v>980</v>
      </c>
      <c r="E105" s="37" t="s">
        <v>190</v>
      </c>
      <c r="F105" s="528">
        <v>-0.49996400000000002</v>
      </c>
      <c r="G105" s="529">
        <v>4.0200000000000001E-10</v>
      </c>
      <c r="H105" s="529">
        <v>2.41E-5</v>
      </c>
      <c r="I105" s="528" t="s">
        <v>2542</v>
      </c>
      <c r="J105" s="535" t="s">
        <v>2673</v>
      </c>
      <c r="K105" s="447" t="s">
        <v>2674</v>
      </c>
      <c r="L105" s="113" t="s">
        <v>980</v>
      </c>
      <c r="M105" s="443">
        <v>0.86</v>
      </c>
      <c r="N105" s="442">
        <v>9.7000000000000003E-14</v>
      </c>
      <c r="O105" s="530">
        <v>0.08</v>
      </c>
      <c r="P105" s="528">
        <v>1</v>
      </c>
    </row>
    <row r="106" spans="1:16" x14ac:dyDescent="0.25">
      <c r="A106" s="526" t="s">
        <v>188</v>
      </c>
      <c r="B106" s="528" t="s">
        <v>189</v>
      </c>
      <c r="C106" s="37" t="s">
        <v>190</v>
      </c>
      <c r="D106" s="113" t="s">
        <v>980</v>
      </c>
      <c r="E106" s="37" t="s">
        <v>190</v>
      </c>
      <c r="F106" s="528">
        <v>-0.39285999999999999</v>
      </c>
      <c r="G106" s="529">
        <v>1.0600000000000001E-8</v>
      </c>
      <c r="H106" s="529">
        <v>4.18E-5</v>
      </c>
      <c r="I106" s="528" t="s">
        <v>2538</v>
      </c>
      <c r="J106" s="527" t="s">
        <v>2675</v>
      </c>
      <c r="K106" s="447" t="s">
        <v>2676</v>
      </c>
      <c r="L106" s="113" t="s">
        <v>978</v>
      </c>
      <c r="M106" s="444">
        <v>-0.46</v>
      </c>
      <c r="N106" s="442">
        <v>6E-9</v>
      </c>
      <c r="O106" s="530">
        <v>0.42</v>
      </c>
      <c r="P106" s="528">
        <v>0.99</v>
      </c>
    </row>
    <row r="107" spans="1:16" x14ac:dyDescent="0.25">
      <c r="A107" s="526" t="s">
        <v>188</v>
      </c>
      <c r="B107" s="528" t="s">
        <v>189</v>
      </c>
      <c r="C107" s="37" t="s">
        <v>190</v>
      </c>
      <c r="D107" s="113" t="s">
        <v>980</v>
      </c>
      <c r="E107" s="37" t="s">
        <v>186</v>
      </c>
      <c r="F107" s="528">
        <v>-0.37720399999999998</v>
      </c>
      <c r="G107" s="529">
        <v>8.0399999999999993E-6</v>
      </c>
      <c r="H107" s="529">
        <v>2.9600000000000001E-5</v>
      </c>
      <c r="I107" s="528" t="s">
        <v>2564</v>
      </c>
      <c r="J107" s="527" t="s">
        <v>2673</v>
      </c>
      <c r="K107" s="447" t="s">
        <v>2674</v>
      </c>
      <c r="L107" s="113" t="s">
        <v>980</v>
      </c>
      <c r="M107" s="444">
        <v>0.8</v>
      </c>
      <c r="N107" s="442">
        <v>5.3999999999999997E-14</v>
      </c>
      <c r="O107" s="530">
        <v>0.08</v>
      </c>
      <c r="P107" s="528">
        <v>1</v>
      </c>
    </row>
    <row r="108" spans="1:16" x14ac:dyDescent="0.25">
      <c r="A108" s="526" t="s">
        <v>188</v>
      </c>
      <c r="B108" s="528" t="s">
        <v>189</v>
      </c>
      <c r="C108" s="37" t="s">
        <v>190</v>
      </c>
      <c r="D108" s="113" t="s">
        <v>980</v>
      </c>
      <c r="E108" s="37" t="s">
        <v>2670</v>
      </c>
      <c r="F108" s="528">
        <v>0.72308799999999995</v>
      </c>
      <c r="G108" s="529">
        <v>5.2200000000000001E-14</v>
      </c>
      <c r="H108" s="529">
        <v>3.3899999999999997E-5</v>
      </c>
      <c r="I108" s="528" t="s">
        <v>2564</v>
      </c>
      <c r="J108" s="527" t="s">
        <v>2671</v>
      </c>
      <c r="K108" s="447" t="s">
        <v>2672</v>
      </c>
      <c r="L108" s="113" t="s">
        <v>975</v>
      </c>
      <c r="M108" s="444">
        <v>-0.94</v>
      </c>
      <c r="N108" s="442">
        <v>3.2999999999999998E-25</v>
      </c>
      <c r="O108" s="530">
        <v>0.36</v>
      </c>
      <c r="P108" s="528">
        <v>0.75</v>
      </c>
    </row>
    <row r="109" spans="1:16" x14ac:dyDescent="0.25">
      <c r="A109" s="526" t="s">
        <v>188</v>
      </c>
      <c r="B109" s="528" t="s">
        <v>189</v>
      </c>
      <c r="C109" s="37" t="s">
        <v>190</v>
      </c>
      <c r="D109" s="113" t="s">
        <v>980</v>
      </c>
      <c r="E109" s="37" t="s">
        <v>190</v>
      </c>
      <c r="F109" s="528">
        <v>-0.40670099999999998</v>
      </c>
      <c r="G109" s="529">
        <v>2.52E-6</v>
      </c>
      <c r="H109" s="529">
        <v>2.8E-5</v>
      </c>
      <c r="I109" s="528" t="s">
        <v>2564</v>
      </c>
      <c r="J109" s="527" t="s">
        <v>2673</v>
      </c>
      <c r="K109" s="447" t="s">
        <v>2674</v>
      </c>
      <c r="L109" s="113" t="s">
        <v>980</v>
      </c>
      <c r="M109" s="443">
        <v>0.89</v>
      </c>
      <c r="N109" s="442">
        <v>4.1999999999999998E-17</v>
      </c>
      <c r="O109" s="530">
        <v>0.08</v>
      </c>
      <c r="P109" s="528">
        <v>1</v>
      </c>
    </row>
    <row r="110" spans="1:16" s="28" customFormat="1" x14ac:dyDescent="0.25">
      <c r="A110" s="531" t="s">
        <v>192</v>
      </c>
      <c r="B110" s="831" t="s">
        <v>193</v>
      </c>
      <c r="C110" s="441" t="s">
        <v>265</v>
      </c>
      <c r="D110" s="454" t="s">
        <v>974</v>
      </c>
      <c r="E110" s="441" t="s">
        <v>265</v>
      </c>
      <c r="F110" s="831">
        <v>0.32329000000000002</v>
      </c>
      <c r="G110" s="440">
        <v>4.8199999999999999E-10</v>
      </c>
      <c r="H110" s="440">
        <v>1.6483000000000001E-4</v>
      </c>
      <c r="I110" s="831" t="s">
        <v>2552</v>
      </c>
      <c r="J110" s="811" t="s">
        <v>2677</v>
      </c>
      <c r="K110" s="458" t="s">
        <v>2678</v>
      </c>
      <c r="L110" s="454" t="s">
        <v>2428</v>
      </c>
      <c r="M110" s="439">
        <v>0.35</v>
      </c>
      <c r="N110" s="438">
        <v>2.2999999999999999E-12</v>
      </c>
      <c r="O110" s="437">
        <v>1</v>
      </c>
      <c r="P110" s="831">
        <v>1</v>
      </c>
    </row>
    <row r="111" spans="1:16" s="28" customFormat="1" x14ac:dyDescent="0.25">
      <c r="A111" s="531" t="s">
        <v>192</v>
      </c>
      <c r="B111" s="831" t="s">
        <v>193</v>
      </c>
      <c r="C111" s="441" t="s">
        <v>265</v>
      </c>
      <c r="D111" s="454" t="s">
        <v>974</v>
      </c>
      <c r="E111" s="441" t="s">
        <v>265</v>
      </c>
      <c r="F111" s="831">
        <v>0.25878099999999998</v>
      </c>
      <c r="G111" s="440">
        <v>1.8900000000000001E-7</v>
      </c>
      <c r="H111" s="440">
        <v>1.2055199999999999E-4</v>
      </c>
      <c r="I111" s="831" t="s">
        <v>2542</v>
      </c>
      <c r="J111" s="538" t="s">
        <v>2679</v>
      </c>
      <c r="K111" s="458" t="s">
        <v>2680</v>
      </c>
      <c r="L111" s="454" t="s">
        <v>974</v>
      </c>
      <c r="M111" s="439">
        <v>0.27</v>
      </c>
      <c r="N111" s="438">
        <v>5.5000000000000003E-8</v>
      </c>
      <c r="O111" s="437">
        <v>0.95</v>
      </c>
      <c r="P111" s="831">
        <v>1</v>
      </c>
    </row>
    <row r="112" spans="1:16" s="28" customFormat="1" x14ac:dyDescent="0.25">
      <c r="A112" s="531" t="s">
        <v>192</v>
      </c>
      <c r="B112" s="831" t="s">
        <v>193</v>
      </c>
      <c r="C112" s="441" t="s">
        <v>265</v>
      </c>
      <c r="D112" s="454" t="s">
        <v>974</v>
      </c>
      <c r="E112" s="441" t="s">
        <v>265</v>
      </c>
      <c r="F112" s="831">
        <v>0.20098099999999999</v>
      </c>
      <c r="G112" s="440">
        <v>1.1700000000000001E-10</v>
      </c>
      <c r="H112" s="440">
        <v>1.7018E-4</v>
      </c>
      <c r="I112" s="831" t="s">
        <v>2538</v>
      </c>
      <c r="J112" s="811" t="s">
        <v>2681</v>
      </c>
      <c r="K112" s="458" t="s">
        <v>2682</v>
      </c>
      <c r="L112" s="454" t="s">
        <v>978</v>
      </c>
      <c r="M112" s="439">
        <v>0.22</v>
      </c>
      <c r="N112" s="438">
        <v>7.5999999999999999E-13</v>
      </c>
      <c r="O112" s="437">
        <v>0.99</v>
      </c>
      <c r="P112" s="831">
        <v>1</v>
      </c>
    </row>
    <row r="113" spans="1:16" x14ac:dyDescent="0.25">
      <c r="A113" s="526" t="s">
        <v>192</v>
      </c>
      <c r="B113" s="528" t="s">
        <v>193</v>
      </c>
      <c r="C113" s="37" t="s">
        <v>265</v>
      </c>
      <c r="D113" s="113" t="s">
        <v>974</v>
      </c>
      <c r="E113" s="37" t="s">
        <v>2683</v>
      </c>
      <c r="F113" s="528">
        <v>0.27751900000000002</v>
      </c>
      <c r="G113" s="529">
        <v>9.9999999999999995E-8</v>
      </c>
      <c r="H113" s="529">
        <v>1.33199E-4</v>
      </c>
      <c r="I113" s="528" t="s">
        <v>2538</v>
      </c>
      <c r="J113" s="527" t="s">
        <v>2684</v>
      </c>
      <c r="K113" s="447" t="s">
        <v>2685</v>
      </c>
      <c r="L113" s="113" t="s">
        <v>975</v>
      </c>
      <c r="M113" s="443">
        <v>-0.42</v>
      </c>
      <c r="N113" s="442">
        <v>2.2E-13</v>
      </c>
      <c r="O113" s="530">
        <v>0.4</v>
      </c>
      <c r="P113" s="528">
        <v>0.86</v>
      </c>
    </row>
    <row r="114" spans="1:16" s="28" customFormat="1" x14ac:dyDescent="0.25">
      <c r="A114" s="531" t="s">
        <v>192</v>
      </c>
      <c r="B114" s="831" t="s">
        <v>193</v>
      </c>
      <c r="C114" s="441" t="s">
        <v>265</v>
      </c>
      <c r="D114" s="454" t="s">
        <v>974</v>
      </c>
      <c r="E114" s="441" t="s">
        <v>265</v>
      </c>
      <c r="F114" s="831">
        <v>0.27129999999999999</v>
      </c>
      <c r="G114" s="440">
        <v>4.6999999999999997E-5</v>
      </c>
      <c r="H114" s="440">
        <v>1.5037300000000001E-4</v>
      </c>
      <c r="I114" s="831" t="s">
        <v>2564</v>
      </c>
      <c r="J114" s="811" t="s">
        <v>2686</v>
      </c>
      <c r="K114" s="458" t="s">
        <v>2687</v>
      </c>
      <c r="L114" s="454" t="s">
        <v>980</v>
      </c>
      <c r="M114" s="439">
        <v>0.28999999999999998</v>
      </c>
      <c r="N114" s="438">
        <v>5.1000000000000003E-6</v>
      </c>
      <c r="O114" s="437">
        <v>1</v>
      </c>
      <c r="P114" s="831">
        <v>1</v>
      </c>
    </row>
    <row r="115" spans="1:16" s="28" customFormat="1" x14ac:dyDescent="0.25">
      <c r="A115" s="531" t="s">
        <v>196</v>
      </c>
      <c r="B115" s="831" t="s">
        <v>197</v>
      </c>
      <c r="C115" s="441" t="s">
        <v>959</v>
      </c>
      <c r="D115" s="454" t="s">
        <v>976</v>
      </c>
      <c r="E115" s="441" t="s">
        <v>265</v>
      </c>
      <c r="F115" s="831">
        <v>-0.32944200000000001</v>
      </c>
      <c r="G115" s="440">
        <v>2.5200000000000001E-10</v>
      </c>
      <c r="H115" s="440">
        <v>1.6483000000000001E-4</v>
      </c>
      <c r="I115" s="831" t="s">
        <v>2552</v>
      </c>
      <c r="J115" s="811" t="s">
        <v>2677</v>
      </c>
      <c r="K115" s="458" t="s">
        <v>2678</v>
      </c>
      <c r="L115" s="454" t="s">
        <v>2428</v>
      </c>
      <c r="M115" s="439">
        <v>0.35</v>
      </c>
      <c r="N115" s="438">
        <v>2.2999999999999999E-12</v>
      </c>
      <c r="O115" s="437">
        <v>0.89</v>
      </c>
      <c r="P115" s="831">
        <v>1</v>
      </c>
    </row>
    <row r="116" spans="1:16" s="28" customFormat="1" x14ac:dyDescent="0.25">
      <c r="A116" s="531" t="s">
        <v>196</v>
      </c>
      <c r="B116" s="831" t="s">
        <v>197</v>
      </c>
      <c r="C116" s="441" t="s">
        <v>959</v>
      </c>
      <c r="D116" s="454" t="s">
        <v>976</v>
      </c>
      <c r="E116" s="441" t="s">
        <v>265</v>
      </c>
      <c r="F116" s="831">
        <v>-0.19936300000000001</v>
      </c>
      <c r="G116" s="440">
        <v>1.14078E-4</v>
      </c>
      <c r="H116" s="440">
        <v>1.2055199999999999E-4</v>
      </c>
      <c r="I116" s="831" t="s">
        <v>2542</v>
      </c>
      <c r="J116" s="538" t="s">
        <v>2679</v>
      </c>
      <c r="K116" s="458" t="s">
        <v>2680</v>
      </c>
      <c r="L116" s="454" t="s">
        <v>974</v>
      </c>
      <c r="M116" s="439">
        <v>0.27</v>
      </c>
      <c r="N116" s="438">
        <v>5.5000000000000003E-8</v>
      </c>
      <c r="O116" s="437">
        <v>0.84</v>
      </c>
      <c r="P116" s="831">
        <v>1</v>
      </c>
    </row>
    <row r="117" spans="1:16" s="28" customFormat="1" x14ac:dyDescent="0.25">
      <c r="A117" s="531" t="s">
        <v>196</v>
      </c>
      <c r="B117" s="812" t="s">
        <v>197</v>
      </c>
      <c r="C117" s="38" t="s">
        <v>959</v>
      </c>
      <c r="D117" s="454" t="s">
        <v>976</v>
      </c>
      <c r="E117" s="38" t="s">
        <v>265</v>
      </c>
      <c r="F117" s="812">
        <v>-0.216058</v>
      </c>
      <c r="G117" s="436">
        <v>1.76E-12</v>
      </c>
      <c r="H117" s="436">
        <v>1.7018E-4</v>
      </c>
      <c r="I117" s="812" t="s">
        <v>2538</v>
      </c>
      <c r="J117" s="811" t="s">
        <v>2681</v>
      </c>
      <c r="K117" s="458" t="s">
        <v>2682</v>
      </c>
      <c r="L117" s="454" t="s">
        <v>978</v>
      </c>
      <c r="M117" s="435">
        <v>0.22</v>
      </c>
      <c r="N117" s="434">
        <v>7.5999999999999999E-13</v>
      </c>
      <c r="O117" s="433">
        <v>0.9</v>
      </c>
      <c r="P117" s="812">
        <v>1</v>
      </c>
    </row>
    <row r="118" spans="1:16" ht="15.75" thickBot="1" x14ac:dyDescent="0.3">
      <c r="A118" s="539" t="s">
        <v>196</v>
      </c>
      <c r="B118" s="540" t="s">
        <v>197</v>
      </c>
      <c r="C118" s="432" t="s">
        <v>959</v>
      </c>
      <c r="D118" s="541" t="s">
        <v>976</v>
      </c>
      <c r="E118" s="432" t="s">
        <v>2683</v>
      </c>
      <c r="F118" s="540">
        <v>-0.26784200000000002</v>
      </c>
      <c r="G118" s="542">
        <v>2.04E-7</v>
      </c>
      <c r="H118" s="542">
        <v>1.33199E-4</v>
      </c>
      <c r="I118" s="540" t="s">
        <v>2538</v>
      </c>
      <c r="J118" s="543" t="s">
        <v>2684</v>
      </c>
      <c r="K118" s="544" t="s">
        <v>2685</v>
      </c>
      <c r="L118" s="541" t="s">
        <v>975</v>
      </c>
      <c r="M118" s="431">
        <v>-0.42</v>
      </c>
      <c r="N118" s="430">
        <v>2.2E-13</v>
      </c>
      <c r="O118" s="545">
        <v>0.36</v>
      </c>
      <c r="P118" s="540">
        <v>0.77</v>
      </c>
    </row>
    <row r="119" spans="1:16" ht="17.25" x14ac:dyDescent="0.25">
      <c r="A119" s="546" t="s">
        <v>2688</v>
      </c>
      <c r="B119" s="547"/>
      <c r="C119" s="39"/>
      <c r="D119" s="547"/>
      <c r="E119" s="39"/>
      <c r="F119" s="547"/>
      <c r="G119" s="548"/>
      <c r="H119" s="548"/>
      <c r="I119" s="547"/>
      <c r="J119" s="547"/>
      <c r="K119" s="549"/>
      <c r="L119" s="547"/>
      <c r="M119" s="550"/>
      <c r="N119" s="551"/>
      <c r="O119" s="552"/>
      <c r="P119" s="547"/>
    </row>
    <row r="120" spans="1:16" x14ac:dyDescent="0.25">
      <c r="A120" s="553" t="s">
        <v>2689</v>
      </c>
      <c r="B120" s="547"/>
      <c r="C120" s="39"/>
      <c r="D120" s="547"/>
      <c r="E120" s="39"/>
      <c r="F120" s="547"/>
      <c r="G120" s="548"/>
      <c r="H120" s="548"/>
      <c r="I120" s="547"/>
      <c r="J120" s="547"/>
      <c r="K120" s="549"/>
      <c r="L120" s="547"/>
      <c r="M120" s="550"/>
      <c r="N120" s="551"/>
      <c r="O120" s="552"/>
      <c r="P120" s="547"/>
    </row>
    <row r="121" spans="1:16" ht="17.25" x14ac:dyDescent="0.25">
      <c r="A121" s="170" t="s">
        <v>2690</v>
      </c>
    </row>
    <row r="122" spans="1:16" x14ac:dyDescent="0.25">
      <c r="A122" s="643" t="s">
        <v>5561</v>
      </c>
      <c r="C122" s="170"/>
    </row>
    <row r="123" spans="1:16" x14ac:dyDescent="0.25">
      <c r="A123" s="555" t="s">
        <v>2691</v>
      </c>
    </row>
  </sheetData>
  <phoneticPr fontId="101" type="noConversion"/>
  <pageMargins left="0.5" right="0.5" top="0.5" bottom="0.5" header="0.05" footer="0.05"/>
  <pageSetup scale="57" fitToHeight="0" orientation="portrait" horizontalDpi="1200" verticalDpi="120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76"/>
  <sheetViews>
    <sheetView zoomScale="75" zoomScaleNormal="75" zoomScalePageLayoutView="75" workbookViewId="0">
      <selection activeCell="C4" sqref="C4"/>
    </sheetView>
  </sheetViews>
  <sheetFormatPr defaultColWidth="10.7109375" defaultRowHeight="15" x14ac:dyDescent="0.25"/>
  <cols>
    <col min="1" max="1" width="19" style="105" customWidth="1"/>
    <col min="2" max="2" width="14" style="105" bestFit="1" customWidth="1"/>
    <col min="3" max="3" width="17.28515625" style="105" bestFit="1" customWidth="1"/>
    <col min="4" max="4" width="60.7109375" style="105" bestFit="1" customWidth="1"/>
    <col min="5" max="5" width="22.28515625" style="105" bestFit="1" customWidth="1"/>
    <col min="6" max="6" width="19.7109375" style="105" bestFit="1" customWidth="1"/>
    <col min="7" max="7" width="17.28515625" style="1123" bestFit="1" customWidth="1"/>
    <col min="8" max="8" width="11.28515625" style="1123" bestFit="1" customWidth="1"/>
    <col min="9" max="9" width="23.28515625" style="1123" bestFit="1" customWidth="1"/>
    <col min="10" max="10" width="21.28515625" style="1123" bestFit="1" customWidth="1"/>
    <col min="11" max="11" width="19.28515625" style="1123" bestFit="1" customWidth="1"/>
    <col min="12" max="12" width="18.7109375" style="1123" bestFit="1" customWidth="1"/>
    <col min="13" max="13" width="27.28515625" style="1123" bestFit="1" customWidth="1"/>
    <col min="14" max="14" width="14.7109375" style="1123" bestFit="1" customWidth="1"/>
    <col min="15" max="15" width="67" style="347" bestFit="1" customWidth="1"/>
    <col min="16" max="16" width="88.7109375" style="105" bestFit="1" customWidth="1"/>
    <col min="17" max="17" width="41.7109375" style="105" bestFit="1" customWidth="1"/>
    <col min="18" max="18" width="12.28515625" style="105" customWidth="1"/>
    <col min="19" max="19" width="14.7109375" style="105" customWidth="1"/>
    <col min="20" max="20" width="12.85546875" style="105" customWidth="1"/>
    <col min="21" max="21" width="68.85546875" style="347" customWidth="1"/>
    <col min="22" max="22" width="53.140625" style="105" customWidth="1"/>
    <col min="23" max="23" width="87.28515625" style="347" customWidth="1"/>
    <col min="24" max="16384" width="10.7109375" style="105"/>
  </cols>
  <sheetData>
    <row r="1" spans="1:23" s="345" customFormat="1" ht="28.5" customHeight="1" x14ac:dyDescent="0.25">
      <c r="A1" s="344" t="s">
        <v>5904</v>
      </c>
      <c r="G1" s="1122"/>
      <c r="H1" s="1122"/>
      <c r="I1" s="1122"/>
      <c r="J1" s="1122"/>
      <c r="K1" s="1122"/>
      <c r="L1" s="1122"/>
      <c r="M1" s="1122"/>
      <c r="N1" s="1122"/>
      <c r="O1" s="346"/>
      <c r="U1" s="346"/>
      <c r="W1" s="346"/>
    </row>
    <row r="2" spans="1:23" s="368" customFormat="1" ht="62.25" customHeight="1" thickBot="1" x14ac:dyDescent="0.3">
      <c r="A2" s="319" t="s">
        <v>2692</v>
      </c>
      <c r="B2" s="171" t="s">
        <v>3</v>
      </c>
      <c r="C2" s="367" t="s">
        <v>968</v>
      </c>
      <c r="D2" s="171" t="s">
        <v>2693</v>
      </c>
      <c r="E2" s="171" t="s">
        <v>2694</v>
      </c>
      <c r="F2" s="171" t="s">
        <v>2695</v>
      </c>
      <c r="G2" s="171" t="s">
        <v>2696</v>
      </c>
      <c r="H2" s="171" t="s">
        <v>7</v>
      </c>
      <c r="I2" s="172" t="s">
        <v>8</v>
      </c>
      <c r="J2" s="172" t="s">
        <v>2697</v>
      </c>
      <c r="K2" s="172" t="s">
        <v>10</v>
      </c>
      <c r="L2" s="173" t="s">
        <v>11</v>
      </c>
      <c r="M2" s="173" t="s">
        <v>2698</v>
      </c>
      <c r="N2" s="171" t="s">
        <v>2699</v>
      </c>
      <c r="O2" s="343" t="s">
        <v>2700</v>
      </c>
      <c r="P2" s="171" t="s">
        <v>2701</v>
      </c>
      <c r="Q2" s="171" t="s">
        <v>2702</v>
      </c>
      <c r="R2" s="171" t="s">
        <v>2703</v>
      </c>
      <c r="S2" s="171" t="s">
        <v>2704</v>
      </c>
      <c r="T2" s="171" t="s">
        <v>2705</v>
      </c>
      <c r="U2" s="171" t="s">
        <v>2706</v>
      </c>
      <c r="V2" s="171" t="s">
        <v>2707</v>
      </c>
      <c r="W2" s="171" t="s">
        <v>2708</v>
      </c>
    </row>
    <row r="3" spans="1:23" ht="28.5" customHeight="1" x14ac:dyDescent="0.25">
      <c r="A3" s="62" t="s">
        <v>13</v>
      </c>
      <c r="C3" s="107"/>
      <c r="M3" s="1124"/>
    </row>
    <row r="4" spans="1:23" ht="102.75" customHeight="1" x14ac:dyDescent="0.25">
      <c r="A4" s="105" t="s">
        <v>14</v>
      </c>
      <c r="B4" s="105" t="s">
        <v>15</v>
      </c>
      <c r="C4" s="107" t="s">
        <v>18</v>
      </c>
      <c r="D4" s="105" t="s">
        <v>2709</v>
      </c>
      <c r="E4" s="105" t="s">
        <v>2710</v>
      </c>
      <c r="F4" s="105" t="s">
        <v>2711</v>
      </c>
      <c r="G4" s="1123" t="s">
        <v>904</v>
      </c>
      <c r="H4" s="1123">
        <v>441461</v>
      </c>
      <c r="I4" s="1123">
        <v>0.95699999999999996</v>
      </c>
      <c r="J4" s="1123">
        <v>4.0599999999999997E-2</v>
      </c>
      <c r="K4" s="1123">
        <v>5.3E-3</v>
      </c>
      <c r="L4" s="1124">
        <v>2.2099999999999999E-14</v>
      </c>
      <c r="M4" s="1124">
        <v>0.35698629999999998</v>
      </c>
      <c r="N4" s="1123" t="s">
        <v>255</v>
      </c>
      <c r="O4" s="347" t="s">
        <v>973</v>
      </c>
      <c r="P4" s="590" t="s">
        <v>2712</v>
      </c>
      <c r="Q4" s="128" t="s">
        <v>904</v>
      </c>
      <c r="R4" s="105">
        <v>0.42</v>
      </c>
      <c r="S4" s="105">
        <v>0.65</v>
      </c>
      <c r="T4" s="105">
        <v>0.88</v>
      </c>
      <c r="U4" s="347" t="s">
        <v>2713</v>
      </c>
      <c r="V4" s="347" t="s">
        <v>2714</v>
      </c>
      <c r="W4" s="347" t="s">
        <v>2715</v>
      </c>
    </row>
    <row r="5" spans="1:23" ht="84.75" customHeight="1" x14ac:dyDescent="0.25">
      <c r="A5" s="105" t="s">
        <v>21</v>
      </c>
      <c r="B5" s="105" t="s">
        <v>22</v>
      </c>
      <c r="C5" s="107" t="s">
        <v>18</v>
      </c>
      <c r="D5" s="105" t="s">
        <v>2709</v>
      </c>
      <c r="E5" s="105" t="s">
        <v>2716</v>
      </c>
      <c r="F5" s="105" t="s">
        <v>2711</v>
      </c>
      <c r="G5" s="1123" t="s">
        <v>904</v>
      </c>
      <c r="H5" s="1123">
        <v>472259</v>
      </c>
      <c r="I5" s="1123">
        <v>0.17399999999999999</v>
      </c>
      <c r="J5" s="1123">
        <v>1.77E-2</v>
      </c>
      <c r="K5" s="1123">
        <v>2.8E-3</v>
      </c>
      <c r="L5" s="1124">
        <v>1.3799999999999999E-10</v>
      </c>
      <c r="M5" s="1124">
        <v>0.39444800000000002</v>
      </c>
      <c r="O5" s="347" t="s">
        <v>973</v>
      </c>
      <c r="P5" s="590" t="s">
        <v>2712</v>
      </c>
      <c r="Q5" s="105" t="s">
        <v>2763</v>
      </c>
      <c r="R5" s="105">
        <v>0.42</v>
      </c>
      <c r="S5" s="105">
        <v>0.65</v>
      </c>
      <c r="T5" s="105">
        <v>0.88</v>
      </c>
      <c r="U5" s="347" t="s">
        <v>2713</v>
      </c>
      <c r="V5" s="347" t="s">
        <v>2714</v>
      </c>
      <c r="W5" s="347" t="s">
        <v>2715</v>
      </c>
    </row>
    <row r="6" spans="1:23" ht="28.5" customHeight="1" x14ac:dyDescent="0.25">
      <c r="A6" s="105" t="s">
        <v>26</v>
      </c>
      <c r="B6" s="105" t="s">
        <v>27</v>
      </c>
      <c r="C6" s="107" t="s">
        <v>28</v>
      </c>
      <c r="D6" s="105" t="s">
        <v>2717</v>
      </c>
      <c r="E6" s="105" t="s">
        <v>2718</v>
      </c>
      <c r="F6" s="105" t="s">
        <v>2711</v>
      </c>
      <c r="G6" s="1123" t="s">
        <v>904</v>
      </c>
      <c r="H6" s="1123">
        <v>476440</v>
      </c>
      <c r="I6" s="1123">
        <v>0.97619999999999996</v>
      </c>
      <c r="J6" s="1123">
        <v>3.73E-2</v>
      </c>
      <c r="K6" s="1123">
        <v>6.7999999999999996E-3</v>
      </c>
      <c r="L6" s="1124">
        <v>3.7499999999999998E-8</v>
      </c>
      <c r="M6" s="1124">
        <v>4.4599999999999996E-6</v>
      </c>
      <c r="N6" s="1123" t="s">
        <v>255</v>
      </c>
      <c r="O6" s="347" t="s">
        <v>973</v>
      </c>
      <c r="P6" s="590" t="s">
        <v>2712</v>
      </c>
      <c r="Q6" s="128" t="s">
        <v>904</v>
      </c>
      <c r="R6" s="105">
        <v>0.56999999999999995</v>
      </c>
      <c r="S6" s="105">
        <v>2.74</v>
      </c>
      <c r="T6" s="105">
        <v>0.84</v>
      </c>
      <c r="U6" s="347" t="s">
        <v>2719</v>
      </c>
      <c r="V6" s="347" t="s">
        <v>0</v>
      </c>
      <c r="W6" s="347" t="s">
        <v>2720</v>
      </c>
    </row>
    <row r="7" spans="1:23" ht="28.5" customHeight="1" x14ac:dyDescent="0.25">
      <c r="A7" s="105" t="s">
        <v>31</v>
      </c>
      <c r="B7" s="105" t="s">
        <v>32</v>
      </c>
      <c r="C7" s="107" t="s">
        <v>33</v>
      </c>
      <c r="D7" s="105" t="s">
        <v>2721</v>
      </c>
      <c r="E7" s="105" t="s">
        <v>34</v>
      </c>
      <c r="F7" s="105" t="s">
        <v>2711</v>
      </c>
      <c r="G7" s="1123" t="s">
        <v>1</v>
      </c>
      <c r="H7" s="1123">
        <v>455526</v>
      </c>
      <c r="I7" s="1123">
        <v>0.98899999999999999</v>
      </c>
      <c r="J7" s="1123">
        <v>6.5199999999999994E-2</v>
      </c>
      <c r="K7" s="1123">
        <v>1.0500000000000001E-2</v>
      </c>
      <c r="L7" s="1124">
        <v>4.8099999999999999E-10</v>
      </c>
      <c r="M7" s="1124">
        <v>2.37E-8</v>
      </c>
      <c r="N7" s="1123" t="s">
        <v>255</v>
      </c>
      <c r="O7" s="347" t="s">
        <v>973</v>
      </c>
      <c r="P7" s="590" t="s">
        <v>2722</v>
      </c>
      <c r="Q7" s="128" t="s">
        <v>904</v>
      </c>
      <c r="R7" s="105">
        <v>-0.86</v>
      </c>
      <c r="S7" s="105">
        <v>1.25</v>
      </c>
      <c r="T7" s="105">
        <v>0.04</v>
      </c>
      <c r="U7" s="347" t="s">
        <v>2723</v>
      </c>
      <c r="V7" s="105" t="s">
        <v>0</v>
      </c>
      <c r="W7" s="347" t="s">
        <v>2724</v>
      </c>
    </row>
    <row r="8" spans="1:23" ht="30" x14ac:dyDescent="0.25">
      <c r="A8" s="105" t="s">
        <v>36</v>
      </c>
      <c r="B8" s="105" t="s">
        <v>37</v>
      </c>
      <c r="C8" s="107" t="s">
        <v>38</v>
      </c>
      <c r="D8" s="105" t="s">
        <v>2725</v>
      </c>
      <c r="E8" s="105" t="s">
        <v>2726</v>
      </c>
      <c r="F8" s="105" t="s">
        <v>2711</v>
      </c>
      <c r="G8" s="1123" t="s">
        <v>904</v>
      </c>
      <c r="H8" s="1123">
        <v>389883</v>
      </c>
      <c r="I8" s="1123">
        <v>0.87909999999999999</v>
      </c>
      <c r="J8" s="1123">
        <v>2.6200000000000001E-2</v>
      </c>
      <c r="K8" s="1123">
        <v>3.5000000000000001E-3</v>
      </c>
      <c r="L8" s="1124">
        <v>1.59E-13</v>
      </c>
      <c r="M8" s="1124">
        <v>2.4000000000000001E-26</v>
      </c>
      <c r="O8" s="347" t="s">
        <v>2727</v>
      </c>
      <c r="P8" s="105" t="s">
        <v>2712</v>
      </c>
      <c r="Q8" s="128" t="s">
        <v>904</v>
      </c>
      <c r="R8" s="105">
        <v>-0.98</v>
      </c>
      <c r="S8" s="105">
        <v>-1.65</v>
      </c>
      <c r="T8" s="105">
        <v>0.01</v>
      </c>
      <c r="U8" s="347" t="s">
        <v>2728</v>
      </c>
      <c r="V8" s="105" t="s">
        <v>0</v>
      </c>
      <c r="W8" s="347" t="s">
        <v>2729</v>
      </c>
    </row>
    <row r="9" spans="1:23" ht="45" x14ac:dyDescent="0.25">
      <c r="A9" s="105" t="s">
        <v>41</v>
      </c>
      <c r="B9" s="105" t="s">
        <v>42</v>
      </c>
      <c r="C9" s="107" t="s">
        <v>43</v>
      </c>
      <c r="D9" s="105" t="s">
        <v>2730</v>
      </c>
      <c r="E9" s="105" t="s">
        <v>44</v>
      </c>
      <c r="F9" s="105" t="s">
        <v>2711</v>
      </c>
      <c r="G9" s="1123" t="s">
        <v>904</v>
      </c>
      <c r="H9" s="1123">
        <v>452638</v>
      </c>
      <c r="I9" s="1123">
        <v>0.69699999999999995</v>
      </c>
      <c r="J9" s="1123">
        <v>1.6400000000000001E-2</v>
      </c>
      <c r="K9" s="1123">
        <v>2.3E-3</v>
      </c>
      <c r="L9" s="1124">
        <v>3.0099999999999999E-12</v>
      </c>
      <c r="M9" s="1124">
        <v>0.84354169999999995</v>
      </c>
      <c r="O9" s="347" t="s">
        <v>2731</v>
      </c>
      <c r="P9" s="105" t="s">
        <v>2712</v>
      </c>
      <c r="Q9" s="128" t="s">
        <v>904</v>
      </c>
      <c r="R9" s="105">
        <v>0.06</v>
      </c>
      <c r="S9" s="105">
        <v>1.08</v>
      </c>
      <c r="T9" s="105">
        <v>0.03</v>
      </c>
      <c r="U9" s="347" t="s">
        <v>2732</v>
      </c>
      <c r="V9" s="105" t="s">
        <v>973</v>
      </c>
      <c r="W9" s="347" t="s">
        <v>2733</v>
      </c>
    </row>
    <row r="10" spans="1:23" ht="28.5" customHeight="1" x14ac:dyDescent="0.25">
      <c r="A10" s="105" t="s">
        <v>57</v>
      </c>
      <c r="B10" s="105" t="s">
        <v>58</v>
      </c>
      <c r="C10" s="107" t="s">
        <v>917</v>
      </c>
      <c r="D10" s="354" t="s">
        <v>2734</v>
      </c>
      <c r="E10" s="105" t="s">
        <v>59</v>
      </c>
      <c r="F10" s="105" t="s">
        <v>2711</v>
      </c>
      <c r="G10" s="1123" t="s">
        <v>904</v>
      </c>
      <c r="H10" s="1123">
        <v>476382</v>
      </c>
      <c r="I10" s="1123">
        <v>0.93610000000000004</v>
      </c>
      <c r="J10" s="1123">
        <v>3.5700000000000003E-2</v>
      </c>
      <c r="K10" s="1123">
        <v>4.3E-3</v>
      </c>
      <c r="L10" s="1124">
        <v>8.3000000000000005E-17</v>
      </c>
      <c r="M10" s="1124">
        <v>6.8090000000000002E-4</v>
      </c>
      <c r="O10" s="347" t="s">
        <v>973</v>
      </c>
      <c r="P10" s="105" t="s">
        <v>2712</v>
      </c>
      <c r="Q10" s="128" t="s">
        <v>904</v>
      </c>
      <c r="R10" s="105">
        <v>0.17</v>
      </c>
      <c r="S10" s="105">
        <v>-0.94</v>
      </c>
      <c r="T10" s="105">
        <v>0</v>
      </c>
      <c r="U10" s="347" t="s">
        <v>2735</v>
      </c>
      <c r="V10" s="105" t="s">
        <v>973</v>
      </c>
      <c r="W10" s="347" t="s">
        <v>2729</v>
      </c>
    </row>
    <row r="11" spans="1:23" ht="30" x14ac:dyDescent="0.25">
      <c r="A11" s="105" t="s">
        <v>61</v>
      </c>
      <c r="B11" s="105" t="s">
        <v>62</v>
      </c>
      <c r="C11" s="107" t="s">
        <v>216</v>
      </c>
      <c r="D11" s="105" t="s">
        <v>2736</v>
      </c>
      <c r="E11" s="105" t="s">
        <v>63</v>
      </c>
      <c r="F11" s="105" t="s">
        <v>2711</v>
      </c>
      <c r="G11" s="1123" t="s">
        <v>904</v>
      </c>
      <c r="H11" s="1123">
        <v>476338</v>
      </c>
      <c r="I11" s="1123">
        <v>0.73280000000000001</v>
      </c>
      <c r="J11" s="1123">
        <v>1.5599999999999999E-2</v>
      </c>
      <c r="K11" s="1123">
        <v>2.3999999999999998E-3</v>
      </c>
      <c r="L11" s="1124">
        <v>9.1599999999999999E-11</v>
      </c>
      <c r="M11" s="1124">
        <v>3.8099999999999999E-4</v>
      </c>
      <c r="O11" s="347" t="s">
        <v>2737</v>
      </c>
      <c r="P11" s="105" t="s">
        <v>2712</v>
      </c>
      <c r="Q11" s="105" t="s">
        <v>2763</v>
      </c>
      <c r="R11" s="105">
        <v>2.0499999999999998</v>
      </c>
      <c r="S11" s="105">
        <v>4.4800000000000004</v>
      </c>
      <c r="T11" s="105">
        <v>1</v>
      </c>
      <c r="U11" s="347" t="s">
        <v>2738</v>
      </c>
      <c r="V11" s="105" t="s">
        <v>2739</v>
      </c>
      <c r="W11" s="347" t="s">
        <v>2740</v>
      </c>
    </row>
    <row r="12" spans="1:23" ht="53.1" customHeight="1" x14ac:dyDescent="0.25">
      <c r="A12" s="105" t="s">
        <v>46</v>
      </c>
      <c r="B12" s="105" t="s">
        <v>47</v>
      </c>
      <c r="C12" s="107" t="s">
        <v>48</v>
      </c>
      <c r="D12" s="105" t="s">
        <v>2741</v>
      </c>
      <c r="E12" s="105" t="s">
        <v>49</v>
      </c>
      <c r="F12" s="105" t="s">
        <v>2711</v>
      </c>
      <c r="G12" s="1123" t="s">
        <v>1</v>
      </c>
      <c r="H12" s="1123">
        <v>455424</v>
      </c>
      <c r="I12" s="1123">
        <v>0.1348</v>
      </c>
      <c r="J12" s="1123">
        <v>1.6299999999999999E-2</v>
      </c>
      <c r="K12" s="1123">
        <v>3.0999999999999999E-3</v>
      </c>
      <c r="L12" s="1124">
        <v>1.8699999999999999E-7</v>
      </c>
      <c r="M12" s="1124">
        <v>0.82062729999999995</v>
      </c>
      <c r="O12" s="347" t="s">
        <v>2742</v>
      </c>
      <c r="P12" s="590" t="s">
        <v>2743</v>
      </c>
      <c r="Q12" s="128" t="s">
        <v>904</v>
      </c>
      <c r="R12" s="105">
        <v>0.86</v>
      </c>
      <c r="S12" s="105">
        <v>-0.2</v>
      </c>
      <c r="T12" s="105">
        <v>0.01</v>
      </c>
      <c r="U12" s="347" t="s">
        <v>2744</v>
      </c>
      <c r="V12" s="105" t="s">
        <v>973</v>
      </c>
      <c r="W12" s="347" t="s">
        <v>2729</v>
      </c>
    </row>
    <row r="13" spans="1:23" ht="180" x14ac:dyDescent="0.25">
      <c r="A13" s="105" t="s">
        <v>50</v>
      </c>
      <c r="B13" s="105" t="s">
        <v>51</v>
      </c>
      <c r="C13" s="107" t="s">
        <v>915</v>
      </c>
      <c r="D13" s="105" t="s">
        <v>2745</v>
      </c>
      <c r="E13" s="105" t="s">
        <v>2746</v>
      </c>
      <c r="F13" s="105" t="s">
        <v>2711</v>
      </c>
      <c r="G13" s="1123" t="s">
        <v>904</v>
      </c>
      <c r="H13" s="1123">
        <v>470111</v>
      </c>
      <c r="I13" s="1123">
        <v>0.44540000000000002</v>
      </c>
      <c r="J13" s="1123">
        <v>1.8700000000000001E-2</v>
      </c>
      <c r="K13" s="1123">
        <v>2.2000000000000001E-3</v>
      </c>
      <c r="L13" s="1124">
        <v>5.4700000000000002E-18</v>
      </c>
      <c r="M13" s="1124">
        <v>4.59525E-2</v>
      </c>
      <c r="O13" s="347" t="s">
        <v>2747</v>
      </c>
      <c r="P13" s="105" t="s">
        <v>2712</v>
      </c>
      <c r="Q13" s="128" t="s">
        <v>904</v>
      </c>
      <c r="R13" s="105">
        <v>-0.06</v>
      </c>
      <c r="S13" s="105">
        <v>0.66</v>
      </c>
      <c r="T13" s="105">
        <v>0</v>
      </c>
      <c r="U13" s="347" t="s">
        <v>2748</v>
      </c>
      <c r="V13" s="105" t="s">
        <v>2749</v>
      </c>
      <c r="W13" s="347" t="s">
        <v>2750</v>
      </c>
    </row>
    <row r="14" spans="1:23" ht="150" x14ac:dyDescent="0.25">
      <c r="A14" s="105" t="s">
        <v>54</v>
      </c>
      <c r="B14" s="105" t="s">
        <v>55</v>
      </c>
      <c r="C14" s="107" t="s">
        <v>916</v>
      </c>
      <c r="D14" s="105" t="s">
        <v>2751</v>
      </c>
      <c r="E14" s="105" t="s">
        <v>56</v>
      </c>
      <c r="F14" s="105" t="s">
        <v>2711</v>
      </c>
      <c r="G14" s="1123" t="s">
        <v>904</v>
      </c>
      <c r="H14" s="1123">
        <v>452150</v>
      </c>
      <c r="I14" s="1123">
        <v>0.54069999999999996</v>
      </c>
      <c r="J14" s="1123">
        <v>1.52E-2</v>
      </c>
      <c r="K14" s="1123">
        <v>2.2000000000000001E-3</v>
      </c>
      <c r="L14" s="1124">
        <v>1.56E-12</v>
      </c>
      <c r="M14" s="1124">
        <v>0.33803650000000002</v>
      </c>
      <c r="O14" s="347" t="s">
        <v>2752</v>
      </c>
      <c r="P14" s="105" t="s">
        <v>2712</v>
      </c>
      <c r="Q14" s="105" t="s">
        <v>2763</v>
      </c>
      <c r="R14" s="105">
        <v>-4.5999999999999999E-2</v>
      </c>
      <c r="S14" s="105">
        <v>-6.6000000000000003E-2</v>
      </c>
      <c r="T14" s="105">
        <v>0</v>
      </c>
      <c r="U14" s="347" t="s">
        <v>2753</v>
      </c>
      <c r="V14" s="105" t="s">
        <v>973</v>
      </c>
      <c r="W14" s="347" t="s">
        <v>2754</v>
      </c>
    </row>
    <row r="15" spans="1:23" ht="45" x14ac:dyDescent="0.25">
      <c r="A15" s="105" t="s">
        <v>71</v>
      </c>
      <c r="B15" s="105" t="s">
        <v>72</v>
      </c>
      <c r="C15" s="107" t="s">
        <v>73</v>
      </c>
      <c r="E15" s="105" t="s">
        <v>2755</v>
      </c>
      <c r="F15" s="105" t="s">
        <v>2711</v>
      </c>
      <c r="G15" s="1123" t="s">
        <v>1</v>
      </c>
      <c r="H15" s="1123">
        <v>461521</v>
      </c>
      <c r="I15" s="1123">
        <v>0.18729999999999999</v>
      </c>
      <c r="J15" s="1123">
        <v>1.4999999999999999E-2</v>
      </c>
      <c r="K15" s="1123">
        <v>2.7000000000000001E-3</v>
      </c>
      <c r="L15" s="1124">
        <v>2.6099999999999999E-8</v>
      </c>
      <c r="M15" s="1124">
        <v>1.24475E-2</v>
      </c>
      <c r="N15" s="1123" t="s">
        <v>249</v>
      </c>
      <c r="O15" s="347" t="s">
        <v>2756</v>
      </c>
      <c r="P15" s="593" t="s">
        <v>2757</v>
      </c>
      <c r="Q15" s="355" t="s">
        <v>904</v>
      </c>
      <c r="R15" s="105">
        <v>0.39</v>
      </c>
      <c r="S15" s="105">
        <v>1.24</v>
      </c>
      <c r="T15" s="105">
        <v>0</v>
      </c>
      <c r="U15" s="347" t="s">
        <v>2758</v>
      </c>
      <c r="V15" s="105" t="s">
        <v>0</v>
      </c>
      <c r="W15" s="355" t="s">
        <v>2759</v>
      </c>
    </row>
    <row r="16" spans="1:23" x14ac:dyDescent="0.25">
      <c r="A16" s="105" t="s">
        <v>64</v>
      </c>
      <c r="B16" s="105" t="s">
        <v>65</v>
      </c>
      <c r="C16" s="107" t="s">
        <v>918</v>
      </c>
      <c r="E16" s="105" t="s">
        <v>66</v>
      </c>
      <c r="F16" s="105" t="s">
        <v>2711</v>
      </c>
      <c r="G16" s="1123" t="s">
        <v>904</v>
      </c>
      <c r="H16" s="1123">
        <v>446080</v>
      </c>
      <c r="I16" s="1123">
        <v>0.83809999999999996</v>
      </c>
      <c r="J16" s="1123">
        <v>2.06E-2</v>
      </c>
      <c r="K16" s="1123">
        <v>2.8999999999999998E-3</v>
      </c>
      <c r="L16" s="1124">
        <v>1.52E-12</v>
      </c>
      <c r="M16" s="1124">
        <v>1.0900000000000001E-5</v>
      </c>
      <c r="N16" s="1123" t="s">
        <v>249</v>
      </c>
      <c r="O16" s="347" t="s">
        <v>0</v>
      </c>
      <c r="P16" s="105" t="s">
        <v>2712</v>
      </c>
      <c r="Q16" s="105" t="s">
        <v>904</v>
      </c>
      <c r="R16" s="105">
        <v>-0.25</v>
      </c>
      <c r="S16" s="105">
        <v>2.75</v>
      </c>
      <c r="T16" s="105">
        <v>0.72</v>
      </c>
      <c r="U16" s="347" t="s">
        <v>2760</v>
      </c>
      <c r="V16" s="105" t="s">
        <v>0</v>
      </c>
      <c r="W16" s="355" t="s">
        <v>2761</v>
      </c>
    </row>
    <row r="17" spans="1:23" ht="30" x14ac:dyDescent="0.25">
      <c r="A17" s="105" t="s">
        <v>68</v>
      </c>
      <c r="B17" s="105" t="s">
        <v>69</v>
      </c>
      <c r="C17" s="107" t="s">
        <v>919</v>
      </c>
      <c r="E17" s="105" t="s">
        <v>2762</v>
      </c>
      <c r="F17" s="105" t="s">
        <v>2711</v>
      </c>
      <c r="G17" s="1123" t="s">
        <v>904</v>
      </c>
      <c r="H17" s="1123">
        <v>476383</v>
      </c>
      <c r="I17" s="1123">
        <v>0.81530000000000002</v>
      </c>
      <c r="J17" s="1123">
        <v>1.5900000000000001E-2</v>
      </c>
      <c r="K17" s="1123">
        <v>2.7000000000000001E-3</v>
      </c>
      <c r="L17" s="1124">
        <v>5.0000000000000001E-9</v>
      </c>
      <c r="M17" s="1124">
        <v>1.115E-4</v>
      </c>
      <c r="N17" s="1123" t="s">
        <v>249</v>
      </c>
      <c r="O17" s="347" t="s">
        <v>0</v>
      </c>
      <c r="P17" s="105" t="s">
        <v>2712</v>
      </c>
      <c r="Q17" s="105" t="s">
        <v>2763</v>
      </c>
      <c r="R17" s="105">
        <v>0.79</v>
      </c>
      <c r="S17" s="105">
        <v>0.23</v>
      </c>
      <c r="T17" s="105">
        <v>0</v>
      </c>
      <c r="U17" s="347" t="s">
        <v>2764</v>
      </c>
      <c r="V17" s="105" t="s">
        <v>0</v>
      </c>
      <c r="W17" s="347" t="s">
        <v>2765</v>
      </c>
    </row>
    <row r="18" spans="1:23" ht="45" x14ac:dyDescent="0.25">
      <c r="A18" s="105" t="s">
        <v>75</v>
      </c>
      <c r="B18" s="105" t="s">
        <v>76</v>
      </c>
      <c r="C18" s="107" t="s">
        <v>77</v>
      </c>
      <c r="E18" s="105" t="s">
        <v>78</v>
      </c>
      <c r="F18" s="105" t="s">
        <v>2711</v>
      </c>
      <c r="G18" s="1123" t="s">
        <v>904</v>
      </c>
      <c r="H18" s="1123">
        <v>455246</v>
      </c>
      <c r="I18" s="1123">
        <v>0.23599999999999999</v>
      </c>
      <c r="J18" s="1123">
        <v>2.2599999999999999E-2</v>
      </c>
      <c r="K18" s="1123">
        <v>2.5000000000000001E-3</v>
      </c>
      <c r="L18" s="1124">
        <v>1.69E-19</v>
      </c>
      <c r="M18" s="1124">
        <v>0.35573179999999999</v>
      </c>
      <c r="N18" s="1123" t="s">
        <v>249</v>
      </c>
      <c r="O18" s="347" t="s">
        <v>0</v>
      </c>
      <c r="P18" s="105" t="s">
        <v>2712</v>
      </c>
      <c r="Q18" s="105" t="s">
        <v>904</v>
      </c>
      <c r="R18" s="105">
        <v>-0.61</v>
      </c>
      <c r="S18" s="105">
        <v>1.06</v>
      </c>
      <c r="T18" s="105">
        <v>0</v>
      </c>
      <c r="U18" s="347" t="s">
        <v>2766</v>
      </c>
      <c r="V18" s="105" t="s">
        <v>0</v>
      </c>
      <c r="W18" s="347" t="s">
        <v>2767</v>
      </c>
    </row>
    <row r="19" spans="1:23" ht="60" x14ac:dyDescent="0.25">
      <c r="A19" s="105" t="s">
        <v>94</v>
      </c>
      <c r="B19" s="105" t="s">
        <v>95</v>
      </c>
      <c r="C19" s="107" t="s">
        <v>923</v>
      </c>
      <c r="D19" s="348" t="s">
        <v>2768</v>
      </c>
      <c r="E19" s="105" t="s">
        <v>2769</v>
      </c>
      <c r="F19" s="105" t="s">
        <v>96</v>
      </c>
      <c r="G19" s="1123" t="s">
        <v>904</v>
      </c>
      <c r="H19" s="1123">
        <v>476358</v>
      </c>
      <c r="I19" s="1123">
        <v>0.54290000000000005</v>
      </c>
      <c r="J19" s="1123">
        <v>3.0499999999999999E-2</v>
      </c>
      <c r="K19" s="1123">
        <v>2.0999999999999999E-3</v>
      </c>
      <c r="L19" s="1124">
        <v>2.5799999999999998E-47</v>
      </c>
      <c r="M19" s="1124">
        <v>1.5700000000000002E-8</v>
      </c>
      <c r="N19" s="1123" t="s">
        <v>249</v>
      </c>
      <c r="O19" s="347" t="s">
        <v>0</v>
      </c>
      <c r="P19" s="105" t="s">
        <v>2712</v>
      </c>
      <c r="Q19" s="105" t="s">
        <v>904</v>
      </c>
      <c r="R19" s="105">
        <v>-0.16</v>
      </c>
      <c r="S19" s="105">
        <v>1.34</v>
      </c>
      <c r="T19" s="105">
        <v>0.04</v>
      </c>
      <c r="U19" s="347" t="s">
        <v>2770</v>
      </c>
      <c r="V19" s="105" t="s">
        <v>0</v>
      </c>
      <c r="W19" s="347" t="s">
        <v>2771</v>
      </c>
    </row>
    <row r="20" spans="1:23" ht="30" x14ac:dyDescent="0.25">
      <c r="A20" s="105" t="s">
        <v>98</v>
      </c>
      <c r="B20" s="105" t="s">
        <v>99</v>
      </c>
      <c r="C20" s="107" t="s">
        <v>924</v>
      </c>
      <c r="D20" s="105" t="s">
        <v>312</v>
      </c>
      <c r="E20" s="105" t="s">
        <v>100</v>
      </c>
      <c r="F20" s="105" t="s">
        <v>2711</v>
      </c>
      <c r="G20" s="1123" t="s">
        <v>904</v>
      </c>
      <c r="H20" s="1123">
        <v>391469</v>
      </c>
      <c r="I20" s="1123">
        <v>9.7000000000000003E-3</v>
      </c>
      <c r="J20" s="1123">
        <v>0.1033</v>
      </c>
      <c r="K20" s="1123">
        <v>1.1599999999999999E-2</v>
      </c>
      <c r="L20" s="1124">
        <v>6.7700000000000004E-19</v>
      </c>
      <c r="M20" s="1124">
        <v>2.2479999999999999E-4</v>
      </c>
      <c r="N20" s="1123" t="s">
        <v>255</v>
      </c>
      <c r="O20" s="347" t="s">
        <v>0</v>
      </c>
      <c r="P20" s="105" t="s">
        <v>2772</v>
      </c>
      <c r="Q20" s="105" t="s">
        <v>904</v>
      </c>
      <c r="R20" s="105">
        <v>-1.63</v>
      </c>
      <c r="S20" s="105">
        <v>-1.24</v>
      </c>
      <c r="T20" s="105">
        <v>0</v>
      </c>
      <c r="U20" s="347" t="s">
        <v>2773</v>
      </c>
      <c r="V20" s="105" t="s">
        <v>0</v>
      </c>
      <c r="W20" s="347" t="s">
        <v>2729</v>
      </c>
    </row>
    <row r="21" spans="1:23" ht="120" x14ac:dyDescent="0.25">
      <c r="A21" s="105" t="s">
        <v>85</v>
      </c>
      <c r="B21" s="105" t="s">
        <v>86</v>
      </c>
      <c r="C21" s="107" t="s">
        <v>87</v>
      </c>
      <c r="D21" s="802" t="s">
        <v>2774</v>
      </c>
      <c r="E21" s="105" t="s">
        <v>88</v>
      </c>
      <c r="F21" s="105" t="s">
        <v>2711</v>
      </c>
      <c r="G21" s="1123" t="s">
        <v>1</v>
      </c>
      <c r="H21" s="1123">
        <v>217995</v>
      </c>
      <c r="I21" s="1123">
        <v>1.4E-3</v>
      </c>
      <c r="J21" s="1123">
        <v>0.22900000000000001</v>
      </c>
      <c r="K21" s="1123">
        <v>4.1799999999999997E-2</v>
      </c>
      <c r="L21" s="1124">
        <v>4.3000000000000001E-8</v>
      </c>
      <c r="M21" s="1124">
        <v>0.62699170000000004</v>
      </c>
      <c r="N21" s="1123" t="s">
        <v>255</v>
      </c>
      <c r="O21" s="347" t="s">
        <v>0</v>
      </c>
      <c r="P21" s="105" t="s">
        <v>2775</v>
      </c>
      <c r="Q21" s="105" t="s">
        <v>904</v>
      </c>
      <c r="R21" s="105" t="s">
        <v>2776</v>
      </c>
      <c r="S21" s="105" t="s">
        <v>2777</v>
      </c>
      <c r="T21" s="105" t="s">
        <v>2778</v>
      </c>
      <c r="U21" s="347" t="s">
        <v>2779</v>
      </c>
      <c r="V21" s="347" t="s">
        <v>2780</v>
      </c>
      <c r="W21" s="347" t="s">
        <v>2781</v>
      </c>
    </row>
    <row r="22" spans="1:23" ht="30" x14ac:dyDescent="0.25">
      <c r="A22" s="105" t="s">
        <v>89</v>
      </c>
      <c r="B22" s="105" t="s">
        <v>90</v>
      </c>
      <c r="C22" s="107" t="s">
        <v>91</v>
      </c>
      <c r="D22" s="802" t="s">
        <v>2782</v>
      </c>
      <c r="E22" s="105" t="s">
        <v>92</v>
      </c>
      <c r="F22" s="105" t="s">
        <v>2711</v>
      </c>
      <c r="G22" s="1123" t="s">
        <v>904</v>
      </c>
      <c r="H22" s="1123">
        <v>309684</v>
      </c>
      <c r="I22" s="1123">
        <v>0.84709999999999996</v>
      </c>
      <c r="J22" s="1123">
        <v>2.07E-2</v>
      </c>
      <c r="K22" s="1123">
        <v>3.5999999999999999E-3</v>
      </c>
      <c r="L22" s="1124">
        <v>1.2E-8</v>
      </c>
      <c r="M22" s="1124">
        <v>0.40685890000000002</v>
      </c>
      <c r="N22" s="1123" t="s">
        <v>249</v>
      </c>
      <c r="O22" s="347" t="s">
        <v>2783</v>
      </c>
      <c r="P22" s="105" t="s">
        <v>2784</v>
      </c>
      <c r="Q22" s="105" t="s">
        <v>2785</v>
      </c>
      <c r="R22" s="105">
        <v>0.12</v>
      </c>
      <c r="S22" s="105">
        <v>-0.43</v>
      </c>
      <c r="T22" s="105">
        <v>0</v>
      </c>
      <c r="U22" s="347" t="s">
        <v>2786</v>
      </c>
      <c r="V22" s="105" t="s">
        <v>0</v>
      </c>
      <c r="W22" s="347" t="s">
        <v>2787</v>
      </c>
    </row>
    <row r="23" spans="1:23" ht="90" x14ac:dyDescent="0.25">
      <c r="A23" s="105" t="s">
        <v>80</v>
      </c>
      <c r="B23" s="105" t="s">
        <v>81</v>
      </c>
      <c r="C23" s="107" t="s">
        <v>82</v>
      </c>
      <c r="D23" s="802" t="s">
        <v>2788</v>
      </c>
      <c r="E23" s="105" t="s">
        <v>83</v>
      </c>
      <c r="F23" s="105" t="s">
        <v>2711</v>
      </c>
      <c r="G23" s="1123" t="s">
        <v>904</v>
      </c>
      <c r="H23" s="1123">
        <v>451044</v>
      </c>
      <c r="I23" s="1123">
        <v>0.56489999999999996</v>
      </c>
      <c r="J23" s="1123">
        <v>1.7100000000000001E-2</v>
      </c>
      <c r="K23" s="1123">
        <v>2.2000000000000001E-3</v>
      </c>
      <c r="L23" s="1124">
        <v>3.9000000000000003E-15</v>
      </c>
      <c r="M23" s="1124">
        <v>0.2155464</v>
      </c>
      <c r="N23" s="1123" t="s">
        <v>249</v>
      </c>
      <c r="O23" s="347" t="s">
        <v>0</v>
      </c>
      <c r="P23" s="105" t="s">
        <v>2789</v>
      </c>
      <c r="Q23" s="105" t="s">
        <v>904</v>
      </c>
      <c r="R23" s="105">
        <v>-0.87</v>
      </c>
      <c r="S23" s="105">
        <v>-0.05</v>
      </c>
      <c r="T23" s="105" t="s">
        <v>2790</v>
      </c>
      <c r="U23" s="347" t="s">
        <v>2791</v>
      </c>
      <c r="V23" s="105" t="s">
        <v>0</v>
      </c>
      <c r="W23" s="347" t="s">
        <v>2792</v>
      </c>
    </row>
    <row r="24" spans="1:23" ht="28.5" customHeight="1" x14ac:dyDescent="0.25">
      <c r="A24" s="105" t="s">
        <v>101</v>
      </c>
      <c r="B24" s="105" t="s">
        <v>102</v>
      </c>
      <c r="C24" s="107" t="s">
        <v>103</v>
      </c>
      <c r="D24" s="802" t="s">
        <v>2793</v>
      </c>
      <c r="E24" s="105" t="s">
        <v>104</v>
      </c>
      <c r="F24" s="105" t="s">
        <v>2711</v>
      </c>
      <c r="G24" s="1123" t="s">
        <v>1</v>
      </c>
      <c r="H24" s="1123">
        <v>475748</v>
      </c>
      <c r="I24" s="1123">
        <v>0.2205</v>
      </c>
      <c r="J24" s="1123">
        <v>1.3599999999999999E-2</v>
      </c>
      <c r="K24" s="1123">
        <v>2.5000000000000001E-3</v>
      </c>
      <c r="L24" s="1124">
        <v>6.2400000000000003E-8</v>
      </c>
      <c r="M24" s="1124">
        <v>1.6888400000000001E-2</v>
      </c>
      <c r="N24" s="1123" t="s">
        <v>249</v>
      </c>
      <c r="O24" s="347" t="s">
        <v>2794</v>
      </c>
      <c r="P24" s="105" t="s">
        <v>2784</v>
      </c>
      <c r="Q24" s="105" t="s">
        <v>2785</v>
      </c>
      <c r="R24" s="105">
        <v>-0.53</v>
      </c>
      <c r="S24" s="105">
        <v>-1.51</v>
      </c>
      <c r="T24" s="105">
        <v>0</v>
      </c>
      <c r="U24" s="347" t="s">
        <v>2795</v>
      </c>
      <c r="V24" s="105" t="s">
        <v>0</v>
      </c>
      <c r="W24" s="347" t="s">
        <v>2796</v>
      </c>
    </row>
    <row r="25" spans="1:23" ht="44.1" customHeight="1" x14ac:dyDescent="0.25">
      <c r="A25" s="105" t="s">
        <v>105</v>
      </c>
      <c r="B25" s="105" t="s">
        <v>106</v>
      </c>
      <c r="C25" s="107" t="s">
        <v>107</v>
      </c>
      <c r="D25" s="802" t="s">
        <v>2797</v>
      </c>
      <c r="E25" s="105" t="s">
        <v>108</v>
      </c>
      <c r="F25" s="105" t="s">
        <v>2711</v>
      </c>
      <c r="G25" s="1123" t="s">
        <v>1</v>
      </c>
      <c r="H25" s="1123">
        <v>451158</v>
      </c>
      <c r="I25" s="1123">
        <v>0.87970000000000004</v>
      </c>
      <c r="J25" s="1123">
        <v>0.02</v>
      </c>
      <c r="K25" s="1123">
        <v>3.3E-3</v>
      </c>
      <c r="L25" s="1124">
        <v>1.7800000000000001E-9</v>
      </c>
      <c r="M25" s="1124">
        <v>0.22592799999999999</v>
      </c>
      <c r="N25" s="1123" t="s">
        <v>249</v>
      </c>
      <c r="O25" s="347" t="s">
        <v>2798</v>
      </c>
      <c r="P25" s="105" t="s">
        <v>2799</v>
      </c>
      <c r="Q25" s="105" t="s">
        <v>2800</v>
      </c>
      <c r="R25" s="105">
        <v>0.48</v>
      </c>
      <c r="S25" s="105">
        <v>1.1599999999999999</v>
      </c>
      <c r="T25" s="105">
        <v>0.68</v>
      </c>
      <c r="U25" s="347" t="s">
        <v>2801</v>
      </c>
      <c r="V25" s="347" t="s">
        <v>2802</v>
      </c>
      <c r="W25" s="347" t="s">
        <v>2803</v>
      </c>
    </row>
    <row r="26" spans="1:23" ht="40.35" customHeight="1" x14ac:dyDescent="0.25">
      <c r="A26" s="105" t="s">
        <v>110</v>
      </c>
      <c r="B26" s="105" t="s">
        <v>111</v>
      </c>
      <c r="C26" s="107" t="s">
        <v>107</v>
      </c>
      <c r="D26" s="802" t="s">
        <v>2797</v>
      </c>
      <c r="E26" s="105" t="s">
        <v>112</v>
      </c>
      <c r="F26" s="105" t="s">
        <v>2711</v>
      </c>
      <c r="G26" s="1123" t="s">
        <v>1</v>
      </c>
      <c r="H26" s="1123">
        <v>454738</v>
      </c>
      <c r="I26" s="1123">
        <v>0.88119999999999998</v>
      </c>
      <c r="J26" s="1123">
        <v>2.1299999999999999E-2</v>
      </c>
      <c r="K26" s="1123">
        <v>3.3999999999999998E-3</v>
      </c>
      <c r="L26" s="1124">
        <v>1.9799999999999999E-10</v>
      </c>
      <c r="M26" s="1124">
        <v>0.1079266</v>
      </c>
      <c r="N26" s="1123" t="s">
        <v>249</v>
      </c>
      <c r="O26" s="347" t="s">
        <v>2798</v>
      </c>
      <c r="P26" s="105" t="s">
        <v>2799</v>
      </c>
      <c r="Q26" s="105" t="s">
        <v>2804</v>
      </c>
      <c r="R26" s="105">
        <v>0.48</v>
      </c>
      <c r="S26" s="105">
        <v>1.1599999999999999</v>
      </c>
      <c r="T26" s="105">
        <v>0.68</v>
      </c>
      <c r="U26" s="347" t="s">
        <v>2801</v>
      </c>
      <c r="V26" s="347" t="s">
        <v>2802</v>
      </c>
      <c r="W26" s="347" t="s">
        <v>2803</v>
      </c>
    </row>
    <row r="27" spans="1:23" ht="28.5" customHeight="1" x14ac:dyDescent="0.25">
      <c r="A27" s="105" t="s">
        <v>118</v>
      </c>
      <c r="B27" s="105" t="s">
        <v>119</v>
      </c>
      <c r="C27" s="107" t="s">
        <v>120</v>
      </c>
      <c r="D27" s="349" t="s">
        <v>2805</v>
      </c>
      <c r="E27" s="105" t="s">
        <v>2769</v>
      </c>
      <c r="F27" s="105" t="s">
        <v>96</v>
      </c>
      <c r="G27" s="1123" t="s">
        <v>1</v>
      </c>
      <c r="H27" s="1123">
        <v>236962</v>
      </c>
      <c r="I27" s="1124">
        <v>8.9999999999999998E-4</v>
      </c>
      <c r="J27" s="1123">
        <v>0.25829999999999997</v>
      </c>
      <c r="K27" s="1123">
        <v>4.9000000000000002E-2</v>
      </c>
      <c r="L27" s="1124">
        <v>1.3799999999999999E-7</v>
      </c>
      <c r="M27" s="1124">
        <v>0.10897859999999999</v>
      </c>
      <c r="N27" s="1123" t="str">
        <f>IF(I27&lt;0.05,"Yes","No")</f>
        <v>Yes</v>
      </c>
      <c r="O27" s="347" t="s">
        <v>0</v>
      </c>
      <c r="R27" s="105">
        <v>-0.9</v>
      </c>
      <c r="S27" s="105">
        <v>2.74</v>
      </c>
      <c r="T27" s="105">
        <v>1</v>
      </c>
      <c r="U27" s="347" t="s">
        <v>2806</v>
      </c>
      <c r="V27" s="347" t="s">
        <v>2807</v>
      </c>
      <c r="W27" s="347" t="s">
        <v>2808</v>
      </c>
    </row>
    <row r="28" spans="1:23" ht="28.5" customHeight="1" x14ac:dyDescent="0.25">
      <c r="A28" s="105" t="s">
        <v>113</v>
      </c>
      <c r="B28" s="105" t="s">
        <v>114</v>
      </c>
      <c r="C28" s="107" t="s">
        <v>115</v>
      </c>
      <c r="D28" s="347" t="s">
        <v>2809</v>
      </c>
      <c r="E28" s="105" t="s">
        <v>2810</v>
      </c>
      <c r="F28" s="105" t="s">
        <v>2711</v>
      </c>
      <c r="G28" s="1123" t="s">
        <v>1</v>
      </c>
      <c r="H28" s="1123">
        <v>476475</v>
      </c>
      <c r="I28" s="1123">
        <v>0.17299999999999999</v>
      </c>
      <c r="J28" s="1123">
        <v>1.8200000000000001E-2</v>
      </c>
      <c r="K28" s="1123">
        <v>2.7000000000000001E-3</v>
      </c>
      <c r="L28" s="1124">
        <v>2.5000000000000001E-11</v>
      </c>
      <c r="M28" s="1124">
        <v>0.8241965</v>
      </c>
      <c r="N28" s="1123" t="str">
        <f>IF(I28&lt;0.05,"Yes","No")</f>
        <v>No</v>
      </c>
      <c r="O28" s="347" t="s">
        <v>0</v>
      </c>
      <c r="P28" s="591" t="s">
        <v>2811</v>
      </c>
      <c r="R28" s="105">
        <v>0.8</v>
      </c>
      <c r="S28" s="105">
        <v>0.63</v>
      </c>
      <c r="T28" s="105">
        <v>0.2</v>
      </c>
      <c r="U28" s="347" t="s">
        <v>2812</v>
      </c>
      <c r="V28" s="105" t="s">
        <v>2813</v>
      </c>
      <c r="W28" s="347" t="s">
        <v>2814</v>
      </c>
    </row>
    <row r="29" spans="1:23" s="128" customFormat="1" ht="30" x14ac:dyDescent="0.25">
      <c r="A29" s="128" t="s">
        <v>121</v>
      </c>
      <c r="B29" s="128" t="s">
        <v>122</v>
      </c>
      <c r="C29" s="129" t="s">
        <v>123</v>
      </c>
      <c r="D29" s="128" t="s">
        <v>2815</v>
      </c>
      <c r="E29" s="128" t="s">
        <v>2816</v>
      </c>
      <c r="F29" s="128" t="s">
        <v>2711</v>
      </c>
      <c r="G29" s="1125" t="s">
        <v>904</v>
      </c>
      <c r="H29" s="1125">
        <v>476457</v>
      </c>
      <c r="I29" s="1125">
        <v>6.08E-2</v>
      </c>
      <c r="J29" s="1125">
        <v>3.39E-2</v>
      </c>
      <c r="K29" s="1125">
        <v>4.4000000000000003E-3</v>
      </c>
      <c r="L29" s="1126">
        <v>9.1399999999999994E-15</v>
      </c>
      <c r="M29" s="1126">
        <v>8.6500000000000002E-5</v>
      </c>
      <c r="N29" s="1125" t="s">
        <v>249</v>
      </c>
      <c r="O29" s="130" t="s">
        <v>2817</v>
      </c>
      <c r="P29" s="105" t="s">
        <v>2712</v>
      </c>
      <c r="Q29" s="128" t="s">
        <v>904</v>
      </c>
      <c r="R29" s="359">
        <v>-0.08</v>
      </c>
      <c r="S29" s="360">
        <v>4.16</v>
      </c>
      <c r="T29" s="128">
        <v>0.97</v>
      </c>
      <c r="U29" s="360" t="s">
        <v>2818</v>
      </c>
      <c r="V29" s="361" t="s">
        <v>0</v>
      </c>
      <c r="W29" s="362" t="s">
        <v>2819</v>
      </c>
    </row>
    <row r="30" spans="1:23" s="128" customFormat="1" ht="28.5" customHeight="1" x14ac:dyDescent="0.25">
      <c r="A30" s="128" t="s">
        <v>126</v>
      </c>
      <c r="B30" s="128" t="s">
        <v>127</v>
      </c>
      <c r="C30" s="129" t="s">
        <v>128</v>
      </c>
      <c r="D30" s="351" t="s">
        <v>2820</v>
      </c>
      <c r="E30" s="128" t="s">
        <v>129</v>
      </c>
      <c r="F30" s="128" t="s">
        <v>2711</v>
      </c>
      <c r="G30" s="1125" t="s">
        <v>1</v>
      </c>
      <c r="H30" s="1125">
        <v>448861</v>
      </c>
      <c r="I30" s="1125">
        <v>0.95430000000000004</v>
      </c>
      <c r="J30" s="1125">
        <v>2.92E-2</v>
      </c>
      <c r="K30" s="1125">
        <v>5.1999999999999998E-3</v>
      </c>
      <c r="L30" s="1126">
        <v>1.7500000000000001E-8</v>
      </c>
      <c r="M30" s="1126">
        <v>0.24600459999999999</v>
      </c>
      <c r="N30" s="1125" t="s">
        <v>249</v>
      </c>
      <c r="O30" s="131" t="s">
        <v>973</v>
      </c>
      <c r="P30" s="590" t="s">
        <v>2722</v>
      </c>
      <c r="Q30" s="128" t="s">
        <v>904</v>
      </c>
      <c r="R30" s="128">
        <v>-3.4</v>
      </c>
      <c r="S30" s="361">
        <v>2.63</v>
      </c>
      <c r="T30" s="128">
        <v>0.49</v>
      </c>
      <c r="U30" s="361" t="s">
        <v>2821</v>
      </c>
      <c r="V30" s="361" t="s">
        <v>0</v>
      </c>
      <c r="W30" s="363" t="s">
        <v>2822</v>
      </c>
    </row>
    <row r="31" spans="1:23" s="128" customFormat="1" ht="81" customHeight="1" x14ac:dyDescent="0.25">
      <c r="A31" s="128" t="s">
        <v>134</v>
      </c>
      <c r="B31" s="128" t="s">
        <v>135</v>
      </c>
      <c r="C31" s="129" t="s">
        <v>136</v>
      </c>
      <c r="D31" s="128" t="s">
        <v>2823</v>
      </c>
      <c r="E31" s="128" t="s">
        <v>137</v>
      </c>
      <c r="F31" s="128" t="s">
        <v>2711</v>
      </c>
      <c r="G31" s="1125" t="s">
        <v>1</v>
      </c>
      <c r="H31" s="1125">
        <v>474637</v>
      </c>
      <c r="I31" s="1125">
        <v>0.73680000000000001</v>
      </c>
      <c r="J31" s="1125">
        <v>1.44E-2</v>
      </c>
      <c r="K31" s="1125">
        <v>2.3999999999999998E-3</v>
      </c>
      <c r="L31" s="1126">
        <v>9.8399999999999991E-10</v>
      </c>
      <c r="M31" s="1126">
        <v>0.5513747</v>
      </c>
      <c r="N31" s="1125"/>
      <c r="O31" s="131" t="s">
        <v>973</v>
      </c>
      <c r="P31" s="591" t="s">
        <v>2824</v>
      </c>
      <c r="Q31" s="128" t="s">
        <v>904</v>
      </c>
      <c r="R31" s="128">
        <v>0.35</v>
      </c>
      <c r="S31" s="128">
        <v>1.58</v>
      </c>
      <c r="T31" s="128">
        <v>0.49</v>
      </c>
      <c r="U31" s="131" t="s">
        <v>2825</v>
      </c>
      <c r="V31" s="131" t="s">
        <v>0</v>
      </c>
      <c r="W31" s="131" t="s">
        <v>2826</v>
      </c>
    </row>
    <row r="32" spans="1:23" s="128" customFormat="1" ht="27.75" customHeight="1" x14ac:dyDescent="0.25">
      <c r="A32" s="128" t="s">
        <v>138</v>
      </c>
      <c r="B32" s="128" t="s">
        <v>139</v>
      </c>
      <c r="C32" s="129" t="s">
        <v>939</v>
      </c>
      <c r="D32" s="128" t="s">
        <v>2827</v>
      </c>
      <c r="E32" s="128" t="s">
        <v>140</v>
      </c>
      <c r="F32" s="128" t="s">
        <v>2711</v>
      </c>
      <c r="G32" s="1125" t="s">
        <v>904</v>
      </c>
      <c r="H32" s="1125">
        <v>466498</v>
      </c>
      <c r="I32" s="1125">
        <v>0.98699999999999999</v>
      </c>
      <c r="J32" s="1125">
        <v>5.2999999999999999E-2</v>
      </c>
      <c r="K32" s="1125">
        <v>9.2999999999999992E-3</v>
      </c>
      <c r="L32" s="1126">
        <v>1.3399999999999999E-8</v>
      </c>
      <c r="M32" s="1126">
        <v>0.43396980000000002</v>
      </c>
      <c r="N32" s="1125" t="s">
        <v>255</v>
      </c>
      <c r="O32" s="131" t="s">
        <v>973</v>
      </c>
      <c r="P32" s="105" t="s">
        <v>2712</v>
      </c>
      <c r="Q32" s="128" t="s">
        <v>904</v>
      </c>
      <c r="R32" s="128">
        <v>0.21</v>
      </c>
      <c r="S32" s="128">
        <v>0.44</v>
      </c>
      <c r="T32" s="128">
        <v>0</v>
      </c>
      <c r="U32" s="131" t="s">
        <v>2828</v>
      </c>
      <c r="V32" s="131" t="s">
        <v>0</v>
      </c>
      <c r="W32" s="131" t="s">
        <v>2829</v>
      </c>
    </row>
    <row r="33" spans="1:23" s="128" customFormat="1" ht="60" x14ac:dyDescent="0.25">
      <c r="A33" s="128" t="s">
        <v>142</v>
      </c>
      <c r="B33" s="128" t="s">
        <v>143</v>
      </c>
      <c r="C33" s="129" t="s">
        <v>940</v>
      </c>
      <c r="D33" s="128" t="s">
        <v>2830</v>
      </c>
      <c r="E33" s="128" t="s">
        <v>2831</v>
      </c>
      <c r="F33" s="128" t="s">
        <v>2711</v>
      </c>
      <c r="G33" s="1125" t="s">
        <v>904</v>
      </c>
      <c r="H33" s="1125">
        <v>476360</v>
      </c>
      <c r="I33" s="1125">
        <v>0.37319999999999998</v>
      </c>
      <c r="J33" s="1125">
        <v>1.7899999999999999E-2</v>
      </c>
      <c r="K33" s="1125">
        <v>2.2000000000000001E-3</v>
      </c>
      <c r="L33" s="1126">
        <v>2.14E-16</v>
      </c>
      <c r="M33" s="1126">
        <v>2.4200000000000002E-7</v>
      </c>
      <c r="N33" s="1125"/>
      <c r="O33" s="131" t="s">
        <v>2832</v>
      </c>
      <c r="P33" s="105" t="s">
        <v>2712</v>
      </c>
      <c r="Q33" s="128" t="s">
        <v>249</v>
      </c>
      <c r="R33" s="128">
        <v>-0.83</v>
      </c>
      <c r="S33" s="128">
        <v>-0.41</v>
      </c>
      <c r="T33" s="128">
        <v>0</v>
      </c>
      <c r="U33" s="131" t="s">
        <v>2833</v>
      </c>
      <c r="V33" s="131" t="s">
        <v>0</v>
      </c>
      <c r="W33" s="131" t="s">
        <v>2834</v>
      </c>
    </row>
    <row r="34" spans="1:23" s="128" customFormat="1" ht="60" x14ac:dyDescent="0.25">
      <c r="A34" s="128" t="s">
        <v>145</v>
      </c>
      <c r="B34" s="128" t="s">
        <v>146</v>
      </c>
      <c r="C34" s="129" t="s">
        <v>940</v>
      </c>
      <c r="D34" s="128" t="s">
        <v>2830</v>
      </c>
      <c r="E34" s="128" t="s">
        <v>2835</v>
      </c>
      <c r="F34" s="128" t="s">
        <v>2711</v>
      </c>
      <c r="G34" s="1125" t="s">
        <v>904</v>
      </c>
      <c r="H34" s="1125">
        <v>476395</v>
      </c>
      <c r="I34" s="1125">
        <v>0.88929999999999998</v>
      </c>
      <c r="J34" s="1125">
        <v>2.52E-2</v>
      </c>
      <c r="K34" s="1125">
        <v>3.3E-3</v>
      </c>
      <c r="L34" s="1126">
        <v>2.8800000000000001E-14</v>
      </c>
      <c r="M34" s="1126">
        <v>4.8E-8</v>
      </c>
      <c r="N34" s="1125"/>
      <c r="O34" s="131" t="s">
        <v>2836</v>
      </c>
      <c r="P34" s="105" t="s">
        <v>2712</v>
      </c>
      <c r="Q34" s="128" t="s">
        <v>249</v>
      </c>
      <c r="R34" s="128">
        <v>-0.83</v>
      </c>
      <c r="S34" s="128">
        <v>-0.41</v>
      </c>
      <c r="T34" s="128">
        <v>0</v>
      </c>
      <c r="U34" s="131" t="s">
        <v>2833</v>
      </c>
      <c r="V34" s="131" t="s">
        <v>0</v>
      </c>
      <c r="W34" s="131" t="s">
        <v>2834</v>
      </c>
    </row>
    <row r="35" spans="1:23" s="128" customFormat="1" ht="45" x14ac:dyDescent="0.25">
      <c r="A35" s="128" t="s">
        <v>148</v>
      </c>
      <c r="B35" s="128" t="s">
        <v>149</v>
      </c>
      <c r="C35" s="129" t="s">
        <v>941</v>
      </c>
      <c r="D35" s="128" t="s">
        <v>2837</v>
      </c>
      <c r="E35" s="128" t="s">
        <v>2838</v>
      </c>
      <c r="F35" s="128" t="s">
        <v>2711</v>
      </c>
      <c r="G35" s="1125" t="s">
        <v>904</v>
      </c>
      <c r="H35" s="1125">
        <v>467649</v>
      </c>
      <c r="I35" s="1125">
        <v>0.6946</v>
      </c>
      <c r="J35" s="1125">
        <v>2.87E-2</v>
      </c>
      <c r="K35" s="1125">
        <v>2.3E-3</v>
      </c>
      <c r="L35" s="1126">
        <v>7.2699999999999999E-37</v>
      </c>
      <c r="M35" s="1126">
        <v>2.02E-10</v>
      </c>
      <c r="N35" s="1125"/>
      <c r="O35" s="131" t="s">
        <v>2839</v>
      </c>
      <c r="P35" s="105" t="s">
        <v>2712</v>
      </c>
      <c r="Q35" s="128" t="s">
        <v>904</v>
      </c>
      <c r="R35" s="128">
        <v>0.13</v>
      </c>
      <c r="S35" s="128">
        <v>0.87</v>
      </c>
      <c r="T35" s="128">
        <v>0.37</v>
      </c>
      <c r="U35" s="131" t="s">
        <v>2840</v>
      </c>
      <c r="V35" s="131" t="s">
        <v>0</v>
      </c>
      <c r="W35" s="131" t="s">
        <v>2841</v>
      </c>
    </row>
    <row r="36" spans="1:23" s="128" customFormat="1" ht="28.5" customHeight="1" x14ac:dyDescent="0.25">
      <c r="A36" s="128" t="s">
        <v>130</v>
      </c>
      <c r="B36" s="128" t="s">
        <v>131</v>
      </c>
      <c r="C36" s="129" t="s">
        <v>132</v>
      </c>
      <c r="D36" s="128" t="s">
        <v>2842</v>
      </c>
      <c r="E36" s="128" t="s">
        <v>133</v>
      </c>
      <c r="F36" s="128" t="s">
        <v>2711</v>
      </c>
      <c r="G36" s="1125" t="s">
        <v>1</v>
      </c>
      <c r="H36" s="1125">
        <v>470513</v>
      </c>
      <c r="I36" s="1125">
        <v>0.98950000000000005</v>
      </c>
      <c r="J36" s="1125">
        <v>8.4599999999999995E-2</v>
      </c>
      <c r="K36" s="1125">
        <v>1.01E-2</v>
      </c>
      <c r="L36" s="1126">
        <v>7.1500000000000003E-17</v>
      </c>
      <c r="M36" s="1126">
        <v>1.01402E-2</v>
      </c>
      <c r="N36" s="1125" t="s">
        <v>255</v>
      </c>
      <c r="O36" s="131" t="s">
        <v>973</v>
      </c>
      <c r="P36" s="590" t="s">
        <v>2722</v>
      </c>
      <c r="Q36" s="128" t="s">
        <v>904</v>
      </c>
      <c r="R36" s="128">
        <v>-0.47</v>
      </c>
      <c r="S36" s="128">
        <v>0.32</v>
      </c>
      <c r="T36" s="128">
        <v>0</v>
      </c>
      <c r="U36" s="804" t="s">
        <v>2843</v>
      </c>
      <c r="V36" s="131" t="s">
        <v>0</v>
      </c>
      <c r="W36" s="131" t="s">
        <v>2844</v>
      </c>
    </row>
    <row r="37" spans="1:23" s="128" customFormat="1" ht="28.5" customHeight="1" x14ac:dyDescent="0.25">
      <c r="A37" s="128" t="s">
        <v>151</v>
      </c>
      <c r="B37" s="128" t="s">
        <v>152</v>
      </c>
      <c r="C37" s="129" t="s">
        <v>153</v>
      </c>
      <c r="E37" s="128" t="s">
        <v>154</v>
      </c>
      <c r="F37" s="128" t="s">
        <v>2711</v>
      </c>
      <c r="G37" s="1125" t="s">
        <v>1</v>
      </c>
      <c r="H37" s="1125">
        <v>469874</v>
      </c>
      <c r="I37" s="1125">
        <v>0.34539999999999998</v>
      </c>
      <c r="J37" s="1125">
        <v>1.4999999999999999E-2</v>
      </c>
      <c r="K37" s="1125">
        <v>2.3E-3</v>
      </c>
      <c r="L37" s="1126">
        <v>3.4499999999999997E-11</v>
      </c>
      <c r="M37" s="1126">
        <v>0.4479823</v>
      </c>
      <c r="N37" s="1125" t="s">
        <v>249</v>
      </c>
      <c r="O37" s="131" t="s">
        <v>2845</v>
      </c>
      <c r="P37" s="356" t="s">
        <v>2846</v>
      </c>
      <c r="Q37" s="128" t="s">
        <v>904</v>
      </c>
      <c r="R37" s="128">
        <v>-1.79</v>
      </c>
      <c r="S37" s="128">
        <v>-1.31</v>
      </c>
      <c r="T37" s="128">
        <v>1</v>
      </c>
      <c r="U37" s="131" t="s">
        <v>2847</v>
      </c>
      <c r="V37" s="128" t="s">
        <v>0</v>
      </c>
      <c r="W37" s="131" t="s">
        <v>2848</v>
      </c>
    </row>
    <row r="38" spans="1:23" s="128" customFormat="1" x14ac:dyDescent="0.25">
      <c r="A38" s="128" t="s">
        <v>155</v>
      </c>
      <c r="B38" s="128" t="s">
        <v>156</v>
      </c>
      <c r="C38" s="129" t="s">
        <v>157</v>
      </c>
      <c r="E38" s="128" t="s">
        <v>158</v>
      </c>
      <c r="F38" s="128" t="s">
        <v>2711</v>
      </c>
      <c r="G38" s="1125" t="s">
        <v>904</v>
      </c>
      <c r="H38" s="1125">
        <v>476274</v>
      </c>
      <c r="I38" s="1125">
        <v>9.5799999999999996E-2</v>
      </c>
      <c r="J38" s="1125">
        <v>2.2800000000000001E-2</v>
      </c>
      <c r="K38" s="1125">
        <v>3.5000000000000001E-3</v>
      </c>
      <c r="L38" s="1126">
        <v>8.8299999999999995E-11</v>
      </c>
      <c r="M38" s="1126">
        <v>1.0301599999999999E-2</v>
      </c>
      <c r="N38" s="1125" t="s">
        <v>249</v>
      </c>
      <c r="O38" s="130" t="s">
        <v>2849</v>
      </c>
      <c r="P38" s="105" t="s">
        <v>2712</v>
      </c>
      <c r="Q38" s="128" t="s">
        <v>904</v>
      </c>
      <c r="R38" s="128">
        <v>-0.95</v>
      </c>
      <c r="S38" s="128">
        <v>-1.58</v>
      </c>
      <c r="T38" s="128">
        <v>0</v>
      </c>
      <c r="U38" s="128" t="s">
        <v>2850</v>
      </c>
      <c r="V38" s="128" t="s">
        <v>0</v>
      </c>
      <c r="W38" s="131" t="s">
        <v>2851</v>
      </c>
    </row>
    <row r="39" spans="1:23" s="128" customFormat="1" ht="28.5" customHeight="1" x14ac:dyDescent="0.25">
      <c r="A39" s="128" t="s">
        <v>160</v>
      </c>
      <c r="B39" s="128" t="s">
        <v>161</v>
      </c>
      <c r="C39" s="129" t="s">
        <v>948</v>
      </c>
      <c r="E39" s="128" t="s">
        <v>162</v>
      </c>
      <c r="F39" s="128" t="s">
        <v>2711</v>
      </c>
      <c r="G39" s="1125" t="s">
        <v>1</v>
      </c>
      <c r="H39" s="1125">
        <v>424163</v>
      </c>
      <c r="I39" s="1125">
        <v>0.23130000000000001</v>
      </c>
      <c r="J39" s="1125">
        <v>1.5800000000000002E-2</v>
      </c>
      <c r="K39" s="1125">
        <v>2.5999999999999999E-3</v>
      </c>
      <c r="L39" s="1126">
        <v>1.9800000000000002E-9</v>
      </c>
      <c r="M39" s="1126">
        <v>0.21663940000000001</v>
      </c>
      <c r="N39" s="1125" t="s">
        <v>249</v>
      </c>
      <c r="O39" s="130" t="s">
        <v>2852</v>
      </c>
      <c r="P39" s="591" t="s">
        <v>2853</v>
      </c>
      <c r="Q39" s="128" t="s">
        <v>2763</v>
      </c>
      <c r="R39" s="128">
        <v>-1.81</v>
      </c>
      <c r="S39" s="128">
        <v>-1.04</v>
      </c>
      <c r="T39" s="128">
        <v>0.05</v>
      </c>
      <c r="U39" s="131" t="s">
        <v>2854</v>
      </c>
      <c r="V39" s="128" t="s">
        <v>0</v>
      </c>
      <c r="W39" s="128" t="s">
        <v>2855</v>
      </c>
    </row>
    <row r="40" spans="1:23" s="128" customFormat="1" ht="28.5" customHeight="1" x14ac:dyDescent="0.25">
      <c r="A40" s="128" t="s">
        <v>163</v>
      </c>
      <c r="B40" s="128" t="s">
        <v>164</v>
      </c>
      <c r="C40" s="129" t="s">
        <v>949</v>
      </c>
      <c r="E40" s="128" t="s">
        <v>165</v>
      </c>
      <c r="F40" s="128" t="s">
        <v>2711</v>
      </c>
      <c r="G40" s="1125" t="s">
        <v>1</v>
      </c>
      <c r="H40" s="1125">
        <v>453078</v>
      </c>
      <c r="I40" s="1125">
        <v>0.29930000000000001</v>
      </c>
      <c r="J40" s="1125">
        <v>1.77E-2</v>
      </c>
      <c r="K40" s="1125">
        <v>2.3999999999999998E-3</v>
      </c>
      <c r="L40" s="1126">
        <v>2.1800000000000001E-13</v>
      </c>
      <c r="M40" s="1126">
        <v>5.0311599999999998E-2</v>
      </c>
      <c r="N40" s="1125" t="s">
        <v>249</v>
      </c>
      <c r="O40" s="130" t="s">
        <v>2856</v>
      </c>
      <c r="Q40" s="128" t="s">
        <v>904</v>
      </c>
      <c r="R40" s="128">
        <v>-1.81</v>
      </c>
      <c r="S40" s="128">
        <v>-0.98</v>
      </c>
      <c r="T40" s="128">
        <v>0</v>
      </c>
      <c r="U40" s="128" t="s">
        <v>2857</v>
      </c>
      <c r="V40" s="128" t="s">
        <v>0</v>
      </c>
      <c r="W40" s="131" t="s">
        <v>2858</v>
      </c>
    </row>
    <row r="41" spans="1:23" ht="28.5" customHeight="1" x14ac:dyDescent="0.25">
      <c r="A41" s="105" t="s">
        <v>166</v>
      </c>
      <c r="B41" s="105" t="s">
        <v>167</v>
      </c>
      <c r="C41" s="107" t="s">
        <v>950</v>
      </c>
      <c r="E41" s="105" t="s">
        <v>168</v>
      </c>
      <c r="F41" s="105" t="s">
        <v>2711</v>
      </c>
      <c r="G41" s="1123" t="s">
        <v>1</v>
      </c>
      <c r="H41" s="1123">
        <v>434331</v>
      </c>
      <c r="I41" s="1123">
        <v>0.28410000000000002</v>
      </c>
      <c r="J41" s="1123">
        <v>1.5100000000000001E-2</v>
      </c>
      <c r="K41" s="1123">
        <v>2.3999999999999998E-3</v>
      </c>
      <c r="L41" s="1124">
        <v>4.3200000000000001E-10</v>
      </c>
      <c r="M41" s="1124">
        <v>0.11603330000000001</v>
      </c>
      <c r="N41" s="1123" t="s">
        <v>249</v>
      </c>
      <c r="O41" s="347" t="s">
        <v>973</v>
      </c>
      <c r="Q41" s="105" t="s">
        <v>2763</v>
      </c>
      <c r="R41" s="105">
        <v>0.86</v>
      </c>
      <c r="S41" s="105">
        <v>-1.07</v>
      </c>
      <c r="T41" s="105">
        <v>0.39</v>
      </c>
      <c r="U41" s="347" t="s">
        <v>2859</v>
      </c>
      <c r="V41" s="105" t="s">
        <v>0</v>
      </c>
      <c r="W41" s="105" t="s">
        <v>2860</v>
      </c>
    </row>
    <row r="42" spans="1:23" ht="28.5" customHeight="1" x14ac:dyDescent="0.25">
      <c r="A42" s="105" t="s">
        <v>169</v>
      </c>
      <c r="B42" s="105" t="s">
        <v>170</v>
      </c>
      <c r="C42" s="107" t="s">
        <v>171</v>
      </c>
      <c r="E42" s="105" t="s">
        <v>2861</v>
      </c>
      <c r="F42" s="105" t="s">
        <v>2711</v>
      </c>
      <c r="G42" s="1123" t="s">
        <v>1</v>
      </c>
      <c r="H42" s="1123">
        <v>469474</v>
      </c>
      <c r="I42" s="1123">
        <v>0.93830000000000002</v>
      </c>
      <c r="J42" s="1123">
        <v>3.4099999999999998E-2</v>
      </c>
      <c r="K42" s="1123">
        <v>4.7000000000000002E-3</v>
      </c>
      <c r="L42" s="1124">
        <v>3.8299999999999998E-13</v>
      </c>
      <c r="M42" s="1124">
        <v>0.77889039999999998</v>
      </c>
      <c r="N42" s="1123" t="s">
        <v>249</v>
      </c>
      <c r="O42" s="63" t="s">
        <v>2862</v>
      </c>
      <c r="P42" s="355"/>
      <c r="Q42" s="128" t="s">
        <v>904</v>
      </c>
      <c r="R42" s="105">
        <v>0.76</v>
      </c>
      <c r="S42" s="105">
        <v>0.42</v>
      </c>
      <c r="T42" s="105">
        <v>0</v>
      </c>
      <c r="U42" s="347" t="s">
        <v>2863</v>
      </c>
      <c r="V42" s="105" t="s">
        <v>0</v>
      </c>
      <c r="W42" s="106" t="s">
        <v>2864</v>
      </c>
    </row>
    <row r="43" spans="1:23" ht="28.5" customHeight="1" x14ac:dyDescent="0.25">
      <c r="A43" s="105" t="s">
        <v>174</v>
      </c>
      <c r="B43" s="105" t="s">
        <v>175</v>
      </c>
      <c r="C43" s="107" t="s">
        <v>171</v>
      </c>
      <c r="E43" s="105" t="s">
        <v>2865</v>
      </c>
      <c r="F43" s="105" t="s">
        <v>2711</v>
      </c>
      <c r="G43" s="1123" t="s">
        <v>1</v>
      </c>
      <c r="H43" s="1123">
        <v>474035</v>
      </c>
      <c r="I43" s="1123">
        <v>0.93869999999999998</v>
      </c>
      <c r="J43" s="1123">
        <v>3.39E-2</v>
      </c>
      <c r="K43" s="1123">
        <v>4.7000000000000002E-3</v>
      </c>
      <c r="L43" s="1124">
        <v>5.4999999999999998E-13</v>
      </c>
      <c r="M43" s="1124">
        <v>0.54536180000000001</v>
      </c>
      <c r="N43" s="1123" t="s">
        <v>249</v>
      </c>
      <c r="O43" s="63" t="s">
        <v>2866</v>
      </c>
      <c r="Q43" s="105" t="s">
        <v>2867</v>
      </c>
      <c r="R43" s="105">
        <v>0.76</v>
      </c>
      <c r="S43" s="105">
        <v>0.42</v>
      </c>
      <c r="T43" s="105">
        <v>0</v>
      </c>
      <c r="U43" s="347" t="s">
        <v>2863</v>
      </c>
      <c r="V43" s="105" t="s">
        <v>0</v>
      </c>
      <c r="W43" s="106" t="s">
        <v>2864</v>
      </c>
    </row>
    <row r="44" spans="1:23" ht="105" x14ac:dyDescent="0.25">
      <c r="A44" s="105" t="s">
        <v>177</v>
      </c>
      <c r="B44" s="105" t="s">
        <v>178</v>
      </c>
      <c r="C44" s="107" t="s">
        <v>957</v>
      </c>
      <c r="D44" s="347" t="s">
        <v>2868</v>
      </c>
      <c r="E44" s="105" t="s">
        <v>179</v>
      </c>
      <c r="F44" s="105" t="s">
        <v>2711</v>
      </c>
      <c r="G44" s="1123" t="s">
        <v>904</v>
      </c>
      <c r="H44" s="1123">
        <v>476389</v>
      </c>
      <c r="I44" s="1123">
        <v>0.2571</v>
      </c>
      <c r="J44" s="1123">
        <v>1.52E-2</v>
      </c>
      <c r="K44" s="1123">
        <v>2.3999999999999998E-3</v>
      </c>
      <c r="L44" s="1124">
        <v>3.4599999999999999E-10</v>
      </c>
      <c r="M44" s="1124">
        <v>5.2986999999999999E-3</v>
      </c>
      <c r="N44" s="1123" t="str">
        <f>IF(I44&lt;0.05,"Yes","No")</f>
        <v>No</v>
      </c>
      <c r="O44" s="63" t="s">
        <v>2869</v>
      </c>
      <c r="P44" s="105" t="s">
        <v>2712</v>
      </c>
      <c r="R44" s="105">
        <v>-0.75</v>
      </c>
      <c r="S44" s="105">
        <v>-1.25</v>
      </c>
      <c r="T44" s="105">
        <v>0</v>
      </c>
      <c r="U44" s="347" t="s">
        <v>2870</v>
      </c>
      <c r="V44" s="105" t="s">
        <v>0</v>
      </c>
      <c r="W44" s="347" t="s">
        <v>2871</v>
      </c>
    </row>
    <row r="45" spans="1:23" ht="30" x14ac:dyDescent="0.25">
      <c r="A45" s="105" t="s">
        <v>181</v>
      </c>
      <c r="B45" s="105" t="s">
        <v>182</v>
      </c>
      <c r="C45" s="107" t="s">
        <v>958</v>
      </c>
      <c r="D45" s="349" t="s">
        <v>2872</v>
      </c>
      <c r="E45" s="105" t="s">
        <v>183</v>
      </c>
      <c r="F45" s="105" t="s">
        <v>2711</v>
      </c>
      <c r="G45" s="1123" t="s">
        <v>904</v>
      </c>
      <c r="H45" s="1123">
        <v>476388</v>
      </c>
      <c r="I45" s="1123">
        <v>0.2707</v>
      </c>
      <c r="J45" s="1123">
        <v>1.52E-2</v>
      </c>
      <c r="K45" s="1123">
        <v>2.3999999999999998E-3</v>
      </c>
      <c r="L45" s="1124">
        <v>1.16E-10</v>
      </c>
      <c r="M45" s="1124">
        <v>3.7989999999999999E-3</v>
      </c>
      <c r="N45" s="1123" t="str">
        <f>IF(I45&lt;0.05,"Yes","No")</f>
        <v>No</v>
      </c>
      <c r="O45" s="64" t="s">
        <v>2873</v>
      </c>
      <c r="P45" s="105" t="s">
        <v>2712</v>
      </c>
      <c r="R45" s="105">
        <v>1.25</v>
      </c>
      <c r="S45" s="105">
        <v>1.4</v>
      </c>
      <c r="T45" s="105">
        <v>0</v>
      </c>
      <c r="U45" s="347" t="s">
        <v>2874</v>
      </c>
      <c r="V45" s="105" t="s">
        <v>0</v>
      </c>
      <c r="W45" s="347" t="s">
        <v>2875</v>
      </c>
    </row>
    <row r="46" spans="1:23" ht="28.5" customHeight="1" x14ac:dyDescent="0.25">
      <c r="A46" s="105" t="s">
        <v>184</v>
      </c>
      <c r="B46" s="105" t="s">
        <v>185</v>
      </c>
      <c r="C46" s="107" t="s">
        <v>186</v>
      </c>
      <c r="D46" s="349" t="s">
        <v>2876</v>
      </c>
      <c r="E46" s="105" t="s">
        <v>187</v>
      </c>
      <c r="F46" s="105" t="s">
        <v>2711</v>
      </c>
      <c r="G46" s="1123" t="s">
        <v>1</v>
      </c>
      <c r="H46" s="1123">
        <v>430272</v>
      </c>
      <c r="I46" s="1123">
        <v>0.49430000000000002</v>
      </c>
      <c r="J46" s="1123">
        <v>1.38E-2</v>
      </c>
      <c r="K46" s="1123">
        <v>2.3E-3</v>
      </c>
      <c r="L46" s="1124">
        <v>1.6399999999999999E-9</v>
      </c>
      <c r="M46" s="1124">
        <v>6.0392500000000002E-2</v>
      </c>
      <c r="N46" s="1123" t="str">
        <f>IF(I46&lt;0.05,"Yes","No")</f>
        <v>No</v>
      </c>
      <c r="O46" s="63" t="s">
        <v>2877</v>
      </c>
      <c r="R46" s="105">
        <v>2.83</v>
      </c>
      <c r="S46" s="105">
        <v>3.77</v>
      </c>
      <c r="T46" s="105">
        <v>0.98</v>
      </c>
      <c r="U46" s="347" t="s">
        <v>2878</v>
      </c>
      <c r="V46" s="105" t="s">
        <v>0</v>
      </c>
      <c r="W46" s="347" t="s">
        <v>2879</v>
      </c>
    </row>
    <row r="47" spans="1:23" ht="28.5" customHeight="1" x14ac:dyDescent="0.25">
      <c r="A47" s="105" t="s">
        <v>188</v>
      </c>
      <c r="B47" s="105" t="s">
        <v>189</v>
      </c>
      <c r="C47" s="107" t="s">
        <v>190</v>
      </c>
      <c r="D47" s="349" t="s">
        <v>2880</v>
      </c>
      <c r="E47" s="105" t="s">
        <v>191</v>
      </c>
      <c r="F47" s="105" t="s">
        <v>2711</v>
      </c>
      <c r="G47" s="1123" t="s">
        <v>1</v>
      </c>
      <c r="H47" s="1123">
        <v>476147</v>
      </c>
      <c r="I47" s="1123">
        <v>0.55769999999999997</v>
      </c>
      <c r="J47" s="1123">
        <v>1.15E-2</v>
      </c>
      <c r="K47" s="1123">
        <v>2.0999999999999999E-3</v>
      </c>
      <c r="L47" s="1124">
        <v>4.66E-8</v>
      </c>
      <c r="M47" s="1124">
        <v>5.1377899999999997E-2</v>
      </c>
      <c r="N47" s="1123" t="str">
        <f>IF(I47&lt;0.05,"Yes","No")</f>
        <v>No</v>
      </c>
      <c r="O47" s="63" t="s">
        <v>2881</v>
      </c>
      <c r="P47" s="347" t="s">
        <v>2882</v>
      </c>
      <c r="R47" s="105">
        <v>1.53</v>
      </c>
      <c r="S47" s="105">
        <v>1.36</v>
      </c>
      <c r="T47" s="105">
        <v>0</v>
      </c>
      <c r="U47" s="347" t="s">
        <v>2883</v>
      </c>
      <c r="V47" s="105" t="s">
        <v>0</v>
      </c>
      <c r="W47" s="347" t="s">
        <v>2884</v>
      </c>
    </row>
    <row r="48" spans="1:23" s="128" customFormat="1" ht="60" x14ac:dyDescent="0.25">
      <c r="A48" s="128" t="s">
        <v>192</v>
      </c>
      <c r="B48" s="128" t="s">
        <v>193</v>
      </c>
      <c r="C48" s="129" t="s">
        <v>265</v>
      </c>
      <c r="D48" s="128" t="s">
        <v>2885</v>
      </c>
      <c r="E48" s="128" t="s">
        <v>194</v>
      </c>
      <c r="F48" s="128" t="s">
        <v>2711</v>
      </c>
      <c r="G48" s="1125" t="s">
        <v>904</v>
      </c>
      <c r="H48" s="1125">
        <v>451064</v>
      </c>
      <c r="I48" s="1125">
        <v>0.60150000000000003</v>
      </c>
      <c r="J48" s="1125">
        <v>1.84E-2</v>
      </c>
      <c r="K48" s="1125">
        <v>2.2000000000000001E-3</v>
      </c>
      <c r="L48" s="1126">
        <v>2.46E-16</v>
      </c>
      <c r="M48" s="1126">
        <v>1.2145000000000001E-3</v>
      </c>
      <c r="N48" s="1125" t="s">
        <v>249</v>
      </c>
      <c r="O48" s="130" t="s">
        <v>2886</v>
      </c>
      <c r="P48" s="105" t="s">
        <v>2712</v>
      </c>
      <c r="Q48" s="128" t="s">
        <v>193</v>
      </c>
      <c r="R48" s="128">
        <v>1.03</v>
      </c>
      <c r="S48" s="128">
        <v>0.69</v>
      </c>
      <c r="T48" s="128">
        <v>0</v>
      </c>
      <c r="U48" s="128" t="s">
        <v>2887</v>
      </c>
      <c r="V48" s="361" t="s">
        <v>0</v>
      </c>
      <c r="W48" s="359" t="s">
        <v>2888</v>
      </c>
    </row>
    <row r="49" spans="1:23" s="128" customFormat="1" ht="60" x14ac:dyDescent="0.25">
      <c r="A49" s="128" t="s">
        <v>196</v>
      </c>
      <c r="B49" s="128" t="s">
        <v>197</v>
      </c>
      <c r="C49" s="129" t="s">
        <v>959</v>
      </c>
      <c r="D49" s="128" t="s">
        <v>2889</v>
      </c>
      <c r="E49" s="128" t="s">
        <v>198</v>
      </c>
      <c r="F49" s="128" t="s">
        <v>2711</v>
      </c>
      <c r="G49" s="1125" t="s">
        <v>904</v>
      </c>
      <c r="H49" s="1125">
        <v>345805</v>
      </c>
      <c r="I49" s="1125">
        <v>0.64359999999999995</v>
      </c>
      <c r="J49" s="1125">
        <v>1.7299999999999999E-2</v>
      </c>
      <c r="K49" s="1125">
        <v>2.5999999999999999E-3</v>
      </c>
      <c r="L49" s="1126">
        <v>1.8199999999999999E-11</v>
      </c>
      <c r="M49" s="1126">
        <v>2.1478999999999999E-3</v>
      </c>
      <c r="N49" s="1125" t="s">
        <v>249</v>
      </c>
      <c r="O49" s="130" t="s">
        <v>2890</v>
      </c>
      <c r="P49" s="105" t="s">
        <v>2712</v>
      </c>
      <c r="Q49" s="128" t="s">
        <v>193</v>
      </c>
      <c r="R49" s="128">
        <v>-0.18</v>
      </c>
      <c r="S49" s="128">
        <v>2.0499999999999998</v>
      </c>
      <c r="T49" s="128">
        <v>0.92</v>
      </c>
      <c r="U49" s="128" t="s">
        <v>2891</v>
      </c>
      <c r="V49" s="364" t="s">
        <v>2892</v>
      </c>
      <c r="W49" s="359" t="s">
        <v>2888</v>
      </c>
    </row>
    <row r="50" spans="1:23" s="128" customFormat="1" ht="28.5" customHeight="1" x14ac:dyDescent="0.25">
      <c r="A50" s="128" t="s">
        <v>199</v>
      </c>
      <c r="B50" s="128" t="s">
        <v>200</v>
      </c>
      <c r="C50" s="129" t="s">
        <v>201</v>
      </c>
      <c r="D50" s="352" t="s">
        <v>2893</v>
      </c>
      <c r="E50" s="128" t="s">
        <v>202</v>
      </c>
      <c r="F50" s="128" t="s">
        <v>2711</v>
      </c>
      <c r="G50" s="1125" t="s">
        <v>1</v>
      </c>
      <c r="H50" s="1125">
        <v>428768</v>
      </c>
      <c r="I50" s="1125">
        <v>1.4E-3</v>
      </c>
      <c r="J50" s="1125">
        <v>0.17180000000000001</v>
      </c>
      <c r="K50" s="1125">
        <v>3.2199999999999999E-2</v>
      </c>
      <c r="L50" s="1126">
        <v>9.6999999999999995E-8</v>
      </c>
      <c r="M50" s="1126">
        <v>0.96050869999999999</v>
      </c>
      <c r="N50" s="1125" t="s">
        <v>255</v>
      </c>
      <c r="O50" s="131" t="s">
        <v>973</v>
      </c>
      <c r="P50" s="590" t="s">
        <v>2722</v>
      </c>
      <c r="R50" s="128">
        <v>-0.14000000000000001</v>
      </c>
      <c r="S50" s="128">
        <v>-0.19</v>
      </c>
      <c r="T50" s="128">
        <v>0</v>
      </c>
      <c r="U50" s="128" t="s">
        <v>2894</v>
      </c>
      <c r="W50" s="128" t="s">
        <v>2895</v>
      </c>
    </row>
    <row r="51" spans="1:23" s="128" customFormat="1" ht="28.5" customHeight="1" x14ac:dyDescent="0.25">
      <c r="C51" s="129"/>
      <c r="G51" s="1125"/>
      <c r="H51" s="1125"/>
      <c r="I51" s="1125"/>
      <c r="J51" s="1125"/>
      <c r="K51" s="1125"/>
      <c r="L51" s="1125"/>
      <c r="M51" s="1126"/>
      <c r="N51" s="1125"/>
      <c r="O51" s="131"/>
    </row>
    <row r="52" spans="1:23" s="128" customFormat="1" ht="28.5" customHeight="1" x14ac:dyDescent="0.25">
      <c r="A52" s="58" t="s">
        <v>203</v>
      </c>
      <c r="C52" s="129"/>
      <c r="G52" s="1125"/>
      <c r="H52" s="1125"/>
      <c r="I52" s="1125"/>
      <c r="J52" s="1125"/>
      <c r="K52" s="1125"/>
      <c r="L52" s="1125"/>
      <c r="M52" s="1126"/>
      <c r="N52" s="1125"/>
      <c r="O52" s="131"/>
    </row>
    <row r="53" spans="1:23" s="128" customFormat="1" x14ac:dyDescent="0.25">
      <c r="A53" s="128" t="s">
        <v>204</v>
      </c>
      <c r="B53" s="128" t="s">
        <v>205</v>
      </c>
      <c r="C53" s="129" t="s">
        <v>206</v>
      </c>
      <c r="D53" s="128" t="s">
        <v>2896</v>
      </c>
      <c r="E53" s="128" t="s">
        <v>2897</v>
      </c>
      <c r="F53" s="128" t="s">
        <v>2711</v>
      </c>
      <c r="G53" s="1125" t="s">
        <v>904</v>
      </c>
      <c r="H53" s="1125">
        <v>476546</v>
      </c>
      <c r="I53" s="1125">
        <v>0.56859999999999999</v>
      </c>
      <c r="J53" s="1125">
        <v>2.5000000000000001E-2</v>
      </c>
      <c r="K53" s="1125">
        <v>3.8E-3</v>
      </c>
      <c r="L53" s="1126">
        <v>4.0699999999999999E-11</v>
      </c>
      <c r="M53" s="1126">
        <v>0.73674810000000002</v>
      </c>
      <c r="N53" s="1125" t="s">
        <v>249</v>
      </c>
      <c r="O53" s="130" t="s">
        <v>2898</v>
      </c>
      <c r="P53" s="105" t="s">
        <v>2712</v>
      </c>
      <c r="Q53" s="128" t="s">
        <v>904</v>
      </c>
      <c r="R53" s="128">
        <v>-0.33</v>
      </c>
      <c r="S53" s="128">
        <v>-0.55000000000000004</v>
      </c>
      <c r="T53" s="128">
        <v>0.37</v>
      </c>
      <c r="U53" s="128" t="s">
        <v>2899</v>
      </c>
      <c r="V53" s="361" t="s">
        <v>0</v>
      </c>
      <c r="W53" s="128" t="s">
        <v>2900</v>
      </c>
    </row>
    <row r="54" spans="1:23" s="128" customFormat="1" ht="28.5" customHeight="1" x14ac:dyDescent="0.25">
      <c r="A54" s="58" t="s">
        <v>209</v>
      </c>
      <c r="C54" s="129"/>
      <c r="G54" s="1125"/>
      <c r="H54" s="1125"/>
      <c r="I54" s="1125"/>
      <c r="J54" s="1125"/>
      <c r="K54" s="1125"/>
      <c r="L54" s="1125"/>
      <c r="M54" s="1126"/>
      <c r="N54" s="1125"/>
      <c r="O54" s="131"/>
    </row>
    <row r="55" spans="1:23" s="128" customFormat="1" ht="28.5" customHeight="1" x14ac:dyDescent="0.25">
      <c r="A55" s="128" t="s">
        <v>210</v>
      </c>
      <c r="B55" s="128" t="s">
        <v>211</v>
      </c>
      <c r="C55" s="129" t="s">
        <v>212</v>
      </c>
      <c r="D55" s="128" t="s">
        <v>2901</v>
      </c>
      <c r="E55" s="128" t="s">
        <v>213</v>
      </c>
      <c r="F55" s="128" t="s">
        <v>2711</v>
      </c>
      <c r="G55" s="1125" t="s">
        <v>1</v>
      </c>
      <c r="H55" s="1125">
        <v>352646</v>
      </c>
      <c r="I55" s="1125">
        <v>1.2999999999999999E-3</v>
      </c>
      <c r="J55" s="1125">
        <v>0.2011</v>
      </c>
      <c r="K55" s="1125">
        <v>3.8199999999999998E-2</v>
      </c>
      <c r="L55" s="1126">
        <v>1.4100000000000001E-7</v>
      </c>
      <c r="M55" s="1126">
        <v>9.4287099999999999E-2</v>
      </c>
      <c r="N55" s="1125" t="s">
        <v>255</v>
      </c>
      <c r="O55" s="131" t="s">
        <v>973</v>
      </c>
      <c r="P55" s="590" t="s">
        <v>2722</v>
      </c>
      <c r="Q55" s="128" t="s">
        <v>904</v>
      </c>
      <c r="R55" s="128">
        <v>-0.03</v>
      </c>
      <c r="S55" s="128">
        <v>0.56000000000000005</v>
      </c>
      <c r="T55" s="128">
        <v>0</v>
      </c>
      <c r="U55" s="131" t="s">
        <v>2902</v>
      </c>
      <c r="V55" s="132" t="s">
        <v>2903</v>
      </c>
      <c r="W55" s="132" t="s">
        <v>2904</v>
      </c>
    </row>
    <row r="56" spans="1:23" s="128" customFormat="1" ht="30" x14ac:dyDescent="0.25">
      <c r="A56" s="109" t="s">
        <v>214</v>
      </c>
      <c r="B56" s="109" t="s">
        <v>215</v>
      </c>
      <c r="C56" s="110" t="s">
        <v>216</v>
      </c>
      <c r="D56" s="105" t="s">
        <v>2736</v>
      </c>
      <c r="E56" s="109" t="s">
        <v>217</v>
      </c>
      <c r="F56" s="109" t="s">
        <v>2711</v>
      </c>
      <c r="G56" s="1127" t="s">
        <v>904</v>
      </c>
      <c r="H56" s="1127">
        <v>420520</v>
      </c>
      <c r="I56" s="1127">
        <v>0.61980000000000002</v>
      </c>
      <c r="J56" s="1127">
        <v>1.3599999999999999E-2</v>
      </c>
      <c r="K56" s="1127">
        <v>2.3E-3</v>
      </c>
      <c r="L56" s="1128">
        <v>3.1399999999999999E-9</v>
      </c>
      <c r="M56" s="1128">
        <v>4.6924000000000002E-3</v>
      </c>
      <c r="N56" s="1125"/>
      <c r="O56" s="131" t="s">
        <v>2737</v>
      </c>
      <c r="P56" s="105" t="s">
        <v>2712</v>
      </c>
      <c r="Q56" s="128" t="s">
        <v>904</v>
      </c>
      <c r="R56" s="105">
        <v>2.0499999999999998</v>
      </c>
      <c r="S56" s="105">
        <v>4.4800000000000004</v>
      </c>
      <c r="T56" s="105">
        <v>1</v>
      </c>
      <c r="U56" s="131" t="s">
        <v>2738</v>
      </c>
      <c r="V56" s="105" t="s">
        <v>2739</v>
      </c>
      <c r="W56" s="347" t="s">
        <v>2740</v>
      </c>
    </row>
    <row r="57" spans="1:23" s="128" customFormat="1" ht="28.5" customHeight="1" x14ac:dyDescent="0.25">
      <c r="A57" s="109" t="s">
        <v>218</v>
      </c>
      <c r="B57" s="109" t="s">
        <v>219</v>
      </c>
      <c r="C57" s="110" t="s">
        <v>220</v>
      </c>
      <c r="D57" s="128" t="s">
        <v>2905</v>
      </c>
      <c r="E57" s="109" t="s">
        <v>2769</v>
      </c>
      <c r="F57" s="109" t="s">
        <v>96</v>
      </c>
      <c r="G57" s="1127" t="s">
        <v>1</v>
      </c>
      <c r="H57" s="1127">
        <v>367079</v>
      </c>
      <c r="I57" s="1127">
        <v>0.4108</v>
      </c>
      <c r="J57" s="1127">
        <v>1.34E-2</v>
      </c>
      <c r="K57" s="1127">
        <v>2.3999999999999998E-3</v>
      </c>
      <c r="L57" s="1128">
        <v>2.1900000000000001E-8</v>
      </c>
      <c r="M57" s="1128">
        <v>0.19717090000000001</v>
      </c>
      <c r="N57" s="1125" t="s">
        <v>249</v>
      </c>
      <c r="O57" s="131" t="s">
        <v>973</v>
      </c>
      <c r="P57" s="592" t="s">
        <v>2906</v>
      </c>
      <c r="Q57" s="128" t="s">
        <v>904</v>
      </c>
      <c r="R57" s="128">
        <v>-0.63</v>
      </c>
      <c r="S57" s="128">
        <v>0.06</v>
      </c>
      <c r="T57" s="128">
        <v>1</v>
      </c>
      <c r="U57" s="128" t="s">
        <v>2907</v>
      </c>
      <c r="V57" s="361" t="s">
        <v>0</v>
      </c>
      <c r="W57" s="128" t="s">
        <v>0</v>
      </c>
    </row>
    <row r="58" spans="1:23" s="128" customFormat="1" ht="28.5" customHeight="1" x14ac:dyDescent="0.25">
      <c r="A58" s="109" t="s">
        <v>221</v>
      </c>
      <c r="B58" s="109" t="s">
        <v>222</v>
      </c>
      <c r="C58" s="110" t="s">
        <v>223</v>
      </c>
      <c r="D58" s="109"/>
      <c r="E58" s="109" t="s">
        <v>224</v>
      </c>
      <c r="F58" s="109" t="s">
        <v>2711</v>
      </c>
      <c r="G58" s="1127" t="s">
        <v>1</v>
      </c>
      <c r="H58" s="1127">
        <v>253703</v>
      </c>
      <c r="I58" s="1127">
        <v>0.34889999999999999</v>
      </c>
      <c r="J58" s="1127">
        <v>1.7299999999999999E-2</v>
      </c>
      <c r="K58" s="1127">
        <v>3.0999999999999999E-3</v>
      </c>
      <c r="L58" s="1128">
        <v>2.0199999999999999E-8</v>
      </c>
      <c r="M58" s="1128">
        <v>9.1724200000000006E-2</v>
      </c>
      <c r="N58" s="1125" t="s">
        <v>249</v>
      </c>
      <c r="O58" s="130" t="s">
        <v>2908</v>
      </c>
      <c r="P58" s="128" t="s">
        <v>2909</v>
      </c>
      <c r="Q58" s="128" t="s">
        <v>904</v>
      </c>
      <c r="R58" s="128">
        <v>-0.04</v>
      </c>
      <c r="S58" s="128">
        <v>1.8</v>
      </c>
      <c r="T58" s="128">
        <v>1</v>
      </c>
      <c r="U58" s="131" t="s">
        <v>2910</v>
      </c>
      <c r="V58" s="128" t="s">
        <v>0</v>
      </c>
      <c r="W58" s="131" t="s">
        <v>2911</v>
      </c>
    </row>
    <row r="59" spans="1:23" s="128" customFormat="1" ht="28.5" customHeight="1" x14ac:dyDescent="0.25">
      <c r="G59" s="1125"/>
      <c r="H59" s="1125"/>
      <c r="I59" s="1125"/>
      <c r="J59" s="1125"/>
      <c r="K59" s="1125"/>
      <c r="L59" s="1125"/>
      <c r="M59" s="1125"/>
      <c r="N59" s="1125"/>
      <c r="O59" s="131"/>
      <c r="U59" s="350"/>
    </row>
    <row r="60" spans="1:23" s="111" customFormat="1" ht="28.5" customHeight="1" x14ac:dyDescent="0.25">
      <c r="A60" s="59" t="s">
        <v>2912</v>
      </c>
      <c r="B60" s="802"/>
      <c r="C60" s="112"/>
      <c r="D60" s="802"/>
      <c r="E60" s="802"/>
      <c r="F60" s="802"/>
      <c r="G60" s="895" t="s">
        <v>1</v>
      </c>
      <c r="H60" s="896" t="s">
        <v>1</v>
      </c>
      <c r="I60" s="1103"/>
      <c r="J60" s="841"/>
      <c r="K60" s="841"/>
      <c r="L60" s="1137"/>
      <c r="M60" s="1137"/>
      <c r="N60" s="1103"/>
      <c r="O60" s="804"/>
      <c r="P60" s="802"/>
      <c r="Q60" s="802"/>
      <c r="R60" s="802"/>
      <c r="S60" s="802"/>
      <c r="T60" s="802"/>
      <c r="U60" s="802"/>
      <c r="V60" s="802"/>
      <c r="W60" s="802"/>
    </row>
    <row r="61" spans="1:23" s="111" customFormat="1" ht="39" customHeight="1" x14ac:dyDescent="0.25">
      <c r="A61" s="802" t="s">
        <v>245</v>
      </c>
      <c r="B61" s="802" t="s">
        <v>246</v>
      </c>
      <c r="C61" s="112" t="s">
        <v>247</v>
      </c>
      <c r="D61" s="802" t="s">
        <v>2913</v>
      </c>
      <c r="E61" s="802" t="s">
        <v>248</v>
      </c>
      <c r="F61" s="802" t="s">
        <v>2711</v>
      </c>
      <c r="G61" s="1103" t="s">
        <v>1</v>
      </c>
      <c r="H61" s="1121">
        <v>203009</v>
      </c>
      <c r="I61" s="896">
        <v>5.4999999999999997E-3</v>
      </c>
      <c r="J61" s="896">
        <v>0.12989999999999999</v>
      </c>
      <c r="K61" s="896">
        <v>2.4E-2</v>
      </c>
      <c r="L61" s="894">
        <v>6.1399999999999994E-8</v>
      </c>
      <c r="M61" s="894">
        <v>1.53E-6</v>
      </c>
      <c r="N61" s="1103" t="s">
        <v>255</v>
      </c>
      <c r="O61" s="804" t="s">
        <v>973</v>
      </c>
      <c r="P61" s="590" t="s">
        <v>2722</v>
      </c>
      <c r="Q61" s="128" t="s">
        <v>904</v>
      </c>
      <c r="R61" s="802">
        <v>0.83</v>
      </c>
      <c r="S61" s="802">
        <v>-1.77</v>
      </c>
      <c r="T61" s="802">
        <v>0</v>
      </c>
      <c r="U61" s="809" t="s">
        <v>2914</v>
      </c>
      <c r="V61" s="802" t="s">
        <v>973</v>
      </c>
      <c r="W61" s="347" t="s">
        <v>2729</v>
      </c>
    </row>
    <row r="62" spans="1:23" s="111" customFormat="1" ht="28.5" customHeight="1" x14ac:dyDescent="0.25">
      <c r="A62" s="802" t="s">
        <v>250</v>
      </c>
      <c r="B62" s="802" t="s">
        <v>251</v>
      </c>
      <c r="C62" s="112" t="s">
        <v>252</v>
      </c>
      <c r="D62" s="802" t="s">
        <v>2915</v>
      </c>
      <c r="E62" s="802" t="s">
        <v>253</v>
      </c>
      <c r="F62" s="802" t="s">
        <v>2711</v>
      </c>
      <c r="G62" s="1103"/>
      <c r="H62" s="1129">
        <v>226646</v>
      </c>
      <c r="I62" s="629">
        <v>0.20169999999999999</v>
      </c>
      <c r="J62" s="1138">
        <v>2.06E-2</v>
      </c>
      <c r="K62" s="1138">
        <v>3.7000000000000002E-3</v>
      </c>
      <c r="L62" s="1137">
        <v>2.6000000000000001E-8</v>
      </c>
      <c r="M62" s="1137">
        <v>2.6069999999999999E-4</v>
      </c>
      <c r="N62" s="1103" t="s">
        <v>249</v>
      </c>
      <c r="O62" s="131" t="s">
        <v>973</v>
      </c>
      <c r="P62" s="592" t="s">
        <v>2916</v>
      </c>
      <c r="Q62" s="128" t="s">
        <v>904</v>
      </c>
      <c r="R62" s="802">
        <v>1.04</v>
      </c>
      <c r="S62" s="802">
        <v>1.04</v>
      </c>
      <c r="T62" s="802">
        <v>0.99</v>
      </c>
      <c r="U62" s="802" t="s">
        <v>2917</v>
      </c>
      <c r="V62" s="364" t="s">
        <v>2918</v>
      </c>
      <c r="W62" s="802" t="s">
        <v>0</v>
      </c>
    </row>
    <row r="63" spans="1:23" s="128" customFormat="1" ht="28.5" customHeight="1" x14ac:dyDescent="0.25">
      <c r="G63" s="1125"/>
      <c r="H63" s="1125"/>
      <c r="I63" s="1125"/>
      <c r="J63" s="1125"/>
      <c r="K63" s="1125"/>
      <c r="L63" s="1125"/>
      <c r="M63" s="1125"/>
      <c r="N63" s="1125"/>
      <c r="O63" s="131"/>
      <c r="V63" s="350"/>
    </row>
    <row r="64" spans="1:23" s="111" customFormat="1" ht="28.5" customHeight="1" x14ac:dyDescent="0.25">
      <c r="A64" s="59" t="s">
        <v>2919</v>
      </c>
      <c r="B64" s="802"/>
      <c r="C64" s="112"/>
      <c r="D64" s="802"/>
      <c r="E64" s="802"/>
      <c r="F64" s="802"/>
      <c r="G64" s="1103"/>
      <c r="H64" s="1103"/>
      <c r="I64" s="1103"/>
      <c r="J64" s="1103"/>
      <c r="K64" s="1103"/>
      <c r="L64" s="1103"/>
      <c r="M64" s="630"/>
      <c r="N64" s="1103"/>
      <c r="O64" s="804"/>
      <c r="P64" s="802"/>
      <c r="Q64" s="802"/>
      <c r="R64" s="802"/>
      <c r="S64" s="802"/>
      <c r="T64" s="802"/>
      <c r="U64" s="802"/>
      <c r="V64" s="802"/>
      <c r="W64" s="802"/>
    </row>
    <row r="65" spans="1:23" s="111" customFormat="1" ht="82.5" customHeight="1" x14ac:dyDescent="0.25">
      <c r="A65" s="802" t="s">
        <v>256</v>
      </c>
      <c r="B65" s="802" t="s">
        <v>257</v>
      </c>
      <c r="C65" s="112" t="s">
        <v>258</v>
      </c>
      <c r="D65" s="802" t="s">
        <v>2920</v>
      </c>
      <c r="E65" s="802" t="s">
        <v>259</v>
      </c>
      <c r="F65" s="802" t="s">
        <v>2711</v>
      </c>
      <c r="G65" s="1103"/>
      <c r="H65" s="1104">
        <v>249471</v>
      </c>
      <c r="I65" s="735">
        <v>0.91210000000000002</v>
      </c>
      <c r="J65" s="735">
        <v>3.3799999999999997E-2</v>
      </c>
      <c r="K65" s="735">
        <v>5.1000000000000004E-3</v>
      </c>
      <c r="L65" s="1130">
        <v>4.46E-11</v>
      </c>
      <c r="M65" s="1131">
        <v>9.7500000000000006E-8</v>
      </c>
      <c r="N65" s="1103"/>
      <c r="O65" s="804" t="s">
        <v>2921</v>
      </c>
      <c r="P65" s="809" t="s">
        <v>2922</v>
      </c>
      <c r="Q65" s="128" t="s">
        <v>904</v>
      </c>
      <c r="R65" s="802">
        <v>0.15</v>
      </c>
      <c r="S65" s="802">
        <v>1.73</v>
      </c>
      <c r="T65" s="802">
        <v>0.15</v>
      </c>
      <c r="U65" s="804" t="s">
        <v>2923</v>
      </c>
      <c r="V65" s="804" t="s">
        <v>2924</v>
      </c>
      <c r="W65" s="804" t="s">
        <v>2925</v>
      </c>
    </row>
    <row r="66" spans="1:23" s="133" customFormat="1" ht="112.5" customHeight="1" x14ac:dyDescent="0.25">
      <c r="A66" s="174" t="s">
        <v>260</v>
      </c>
      <c r="B66" s="174" t="s">
        <v>261</v>
      </c>
      <c r="C66" s="175" t="s">
        <v>262</v>
      </c>
      <c r="D66" s="353" t="s">
        <v>2926</v>
      </c>
      <c r="E66" s="174" t="s">
        <v>263</v>
      </c>
      <c r="F66" s="174" t="s">
        <v>2711</v>
      </c>
      <c r="G66" s="1132"/>
      <c r="H66" s="1132">
        <v>243351</v>
      </c>
      <c r="I66" s="1133">
        <v>0.98099999999999998</v>
      </c>
      <c r="J66" s="1133">
        <v>6.4299999999999996E-2</v>
      </c>
      <c r="K66" s="1133">
        <v>1.06E-2</v>
      </c>
      <c r="L66" s="1134">
        <v>1.2E-9</v>
      </c>
      <c r="M66" s="1135">
        <v>1.3199999999999999E-7</v>
      </c>
      <c r="N66" s="1136" t="str">
        <f>IF(I66&lt;0.05,"Yes","No")</f>
        <v>No</v>
      </c>
      <c r="O66" s="357" t="s">
        <v>0</v>
      </c>
      <c r="P66" s="174"/>
      <c r="Q66" s="174"/>
      <c r="R66" s="174">
        <v>1.18</v>
      </c>
      <c r="S66" s="174">
        <v>0.21</v>
      </c>
      <c r="T66" s="174">
        <v>0</v>
      </c>
      <c r="U66" s="357" t="s">
        <v>2927</v>
      </c>
      <c r="V66" s="174" t="s">
        <v>0</v>
      </c>
      <c r="W66" s="357" t="s">
        <v>2928</v>
      </c>
    </row>
    <row r="67" spans="1:23" s="134" customFormat="1" x14ac:dyDescent="0.25">
      <c r="A67" s="354" t="s">
        <v>2929</v>
      </c>
      <c r="C67" s="135"/>
      <c r="G67" s="1104"/>
      <c r="H67" s="1104"/>
      <c r="I67" s="735"/>
      <c r="J67" s="735"/>
      <c r="K67" s="735"/>
      <c r="L67" s="1130"/>
      <c r="M67" s="1131"/>
      <c r="N67" s="1104"/>
      <c r="O67" s="136"/>
    </row>
    <row r="68" spans="1:23" x14ac:dyDescent="0.25">
      <c r="A68" s="358" t="s">
        <v>2062</v>
      </c>
      <c r="U68" s="347" t="s">
        <v>1</v>
      </c>
    </row>
    <row r="69" spans="1:23" x14ac:dyDescent="0.25">
      <c r="A69" s="250" t="s">
        <v>2930</v>
      </c>
      <c r="U69" s="347" t="s">
        <v>1</v>
      </c>
    </row>
    <row r="70" spans="1:23" x14ac:dyDescent="0.25">
      <c r="A70" s="106" t="s">
        <v>2931</v>
      </c>
    </row>
    <row r="71" spans="1:23" x14ac:dyDescent="0.25">
      <c r="A71" s="366" t="s">
        <v>996</v>
      </c>
    </row>
    <row r="72" spans="1:23" x14ac:dyDescent="0.25">
      <c r="A72" s="366" t="s">
        <v>2932</v>
      </c>
    </row>
    <row r="73" spans="1:23" x14ac:dyDescent="0.25">
      <c r="A73" s="106" t="s">
        <v>2933</v>
      </c>
    </row>
    <row r="74" spans="1:23" x14ac:dyDescent="0.25">
      <c r="A74" s="365" t="s">
        <v>2934</v>
      </c>
    </row>
    <row r="75" spans="1:23" x14ac:dyDescent="0.25">
      <c r="A75" s="365" t="s">
        <v>2935</v>
      </c>
    </row>
    <row r="76" spans="1:23" x14ac:dyDescent="0.25">
      <c r="A76" s="365" t="s">
        <v>2936</v>
      </c>
    </row>
  </sheetData>
  <phoneticPr fontId="101" type="noConversion"/>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J342"/>
  <sheetViews>
    <sheetView zoomScale="75" zoomScaleNormal="75" zoomScalePageLayoutView="75" workbookViewId="0">
      <selection activeCell="E14" sqref="E14"/>
    </sheetView>
  </sheetViews>
  <sheetFormatPr defaultColWidth="9.140625" defaultRowHeight="15" x14ac:dyDescent="0.25"/>
  <cols>
    <col min="1" max="1" width="15.7109375" style="118" customWidth="1"/>
    <col min="2" max="2" width="16.85546875" style="121" customWidth="1"/>
    <col min="3" max="3" width="16.140625" style="121" customWidth="1"/>
    <col min="4" max="4" width="21.7109375" style="121" customWidth="1"/>
    <col min="5" max="5" width="27.140625" style="121" bestFit="1" customWidth="1"/>
    <col min="6" max="6" width="27.85546875" style="121" customWidth="1"/>
    <col min="7" max="7" width="39" style="121" bestFit="1" customWidth="1"/>
    <col min="8" max="8" width="21.28515625" style="121" bestFit="1" customWidth="1"/>
    <col min="9" max="9" width="21.140625" style="121" bestFit="1" customWidth="1"/>
    <col min="10" max="10" width="11.28515625" style="121" bestFit="1" customWidth="1"/>
    <col min="11" max="11" width="12.7109375" style="121" bestFit="1" customWidth="1"/>
    <col min="12" max="12" width="47.140625" style="121" customWidth="1"/>
    <col min="13" max="13" width="22.28515625" style="121" customWidth="1"/>
    <col min="14" max="14" width="22" style="121" customWidth="1"/>
    <col min="15" max="15" width="25.85546875" style="121" customWidth="1"/>
    <col min="16" max="16" width="33.7109375" style="121" bestFit="1" customWidth="1"/>
    <col min="17" max="17" width="26.28515625" style="121" bestFit="1" customWidth="1"/>
    <col min="18" max="18" width="17.7109375" style="121" customWidth="1"/>
    <col min="19" max="19" width="19.7109375" style="121" customWidth="1"/>
    <col min="20" max="20" width="13.28515625" style="121" bestFit="1" customWidth="1"/>
    <col min="21" max="21" width="11" style="121" bestFit="1" customWidth="1"/>
    <col min="22" max="22" width="11.7109375" style="121" bestFit="1" customWidth="1"/>
    <col min="23" max="23" width="11" style="121" bestFit="1" customWidth="1"/>
    <col min="24" max="25" width="11.140625" style="121" bestFit="1" customWidth="1"/>
    <col min="26" max="26" width="10" style="121" bestFit="1" customWidth="1"/>
    <col min="27" max="27" width="9.7109375" style="121" bestFit="1" customWidth="1"/>
    <col min="28" max="28" width="12.7109375" style="121" bestFit="1" customWidth="1"/>
    <col min="29" max="29" width="17.140625" style="121" bestFit="1" customWidth="1"/>
    <col min="30" max="30" width="17.7109375" style="121" bestFit="1" customWidth="1"/>
    <col min="31" max="31" width="18.28515625" style="121" bestFit="1" customWidth="1"/>
    <col min="32" max="32" width="17.7109375" style="121" bestFit="1" customWidth="1"/>
    <col min="33" max="33" width="16.7109375" style="121" bestFit="1" customWidth="1"/>
    <col min="34" max="34" width="17.7109375" style="121" bestFit="1" customWidth="1"/>
    <col min="35" max="35" width="18.140625" style="121" bestFit="1" customWidth="1"/>
    <col min="36" max="36" width="17.85546875" style="121" bestFit="1" customWidth="1"/>
    <col min="37" max="16384" width="9.140625" style="121"/>
  </cols>
  <sheetData>
    <row r="1" spans="1:36" s="324" customFormat="1" ht="24.75" customHeight="1" x14ac:dyDescent="0.25">
      <c r="A1" s="342" t="s">
        <v>5903</v>
      </c>
    </row>
    <row r="2" spans="1:36" s="324" customFormat="1" ht="18.75" customHeight="1" x14ac:dyDescent="0.25">
      <c r="A2" s="1526" t="s">
        <v>2937</v>
      </c>
      <c r="B2" s="1526" t="s">
        <v>2938</v>
      </c>
      <c r="C2" s="1528" t="s">
        <v>2939</v>
      </c>
      <c r="D2" s="869" t="s">
        <v>2940</v>
      </c>
      <c r="E2" s="869" t="s">
        <v>2940</v>
      </c>
      <c r="F2" s="869" t="s">
        <v>2941</v>
      </c>
      <c r="G2" s="869" t="s">
        <v>2941</v>
      </c>
      <c r="H2" s="869" t="s">
        <v>2940</v>
      </c>
      <c r="I2" s="869" t="s">
        <v>2942</v>
      </c>
      <c r="J2" s="869" t="s">
        <v>2940</v>
      </c>
      <c r="K2" s="869" t="s">
        <v>2940</v>
      </c>
      <c r="L2" s="869" t="s">
        <v>2940</v>
      </c>
      <c r="M2" s="869" t="s">
        <v>2940</v>
      </c>
      <c r="N2" s="869" t="s">
        <v>2940</v>
      </c>
      <c r="O2" s="869" t="s">
        <v>2940</v>
      </c>
      <c r="P2" s="869" t="s">
        <v>2940</v>
      </c>
      <c r="Q2" s="869" t="s">
        <v>2940</v>
      </c>
      <c r="R2" s="869" t="s">
        <v>2940</v>
      </c>
      <c r="S2" s="869" t="s">
        <v>2940</v>
      </c>
      <c r="T2" s="869" t="s">
        <v>2940</v>
      </c>
      <c r="U2" s="869" t="s">
        <v>2940</v>
      </c>
      <c r="V2" s="869" t="s">
        <v>2940</v>
      </c>
      <c r="W2" s="869" t="s">
        <v>2940</v>
      </c>
      <c r="X2" s="869" t="s">
        <v>2940</v>
      </c>
      <c r="Y2" s="869" t="s">
        <v>2940</v>
      </c>
      <c r="Z2" s="869" t="s">
        <v>2940</v>
      </c>
      <c r="AA2" s="869" t="s">
        <v>2940</v>
      </c>
      <c r="AB2" s="869" t="s">
        <v>2940</v>
      </c>
      <c r="AC2" s="869" t="s">
        <v>2940</v>
      </c>
      <c r="AD2" s="869" t="s">
        <v>2940</v>
      </c>
      <c r="AE2" s="869" t="s">
        <v>2940</v>
      </c>
      <c r="AF2" s="869" t="s">
        <v>2940</v>
      </c>
      <c r="AG2" s="869" t="s">
        <v>2940</v>
      </c>
      <c r="AH2" s="869" t="s">
        <v>2940</v>
      </c>
      <c r="AI2" s="869" t="s">
        <v>2940</v>
      </c>
      <c r="AJ2" s="869" t="s">
        <v>2940</v>
      </c>
    </row>
    <row r="3" spans="1:36" s="324" customFormat="1" ht="45.75" customHeight="1" x14ac:dyDescent="0.25">
      <c r="A3" s="1527"/>
      <c r="B3" s="1527"/>
      <c r="C3" s="1529"/>
      <c r="D3" s="839" t="s">
        <v>2943</v>
      </c>
      <c r="E3" s="839" t="s">
        <v>2944</v>
      </c>
      <c r="F3" s="838" t="s">
        <v>2945</v>
      </c>
      <c r="G3" s="838" t="s">
        <v>2946</v>
      </c>
      <c r="H3" s="839" t="s">
        <v>2947</v>
      </c>
      <c r="I3" s="838" t="s">
        <v>2948</v>
      </c>
      <c r="J3" s="325" t="s">
        <v>2949</v>
      </c>
      <c r="K3" s="325" t="s">
        <v>2950</v>
      </c>
      <c r="L3" s="839" t="s">
        <v>2951</v>
      </c>
      <c r="M3" s="838" t="s">
        <v>2952</v>
      </c>
      <c r="N3" s="838" t="s">
        <v>2953</v>
      </c>
      <c r="O3" s="838" t="s">
        <v>2954</v>
      </c>
      <c r="P3" s="839" t="s">
        <v>2955</v>
      </c>
      <c r="Q3" s="838" t="s">
        <v>2956</v>
      </c>
      <c r="R3" s="838" t="s">
        <v>2957</v>
      </c>
      <c r="S3" s="838" t="s">
        <v>2958</v>
      </c>
      <c r="T3" s="839" t="s">
        <v>2959</v>
      </c>
      <c r="U3" s="839" t="s">
        <v>2960</v>
      </c>
      <c r="V3" s="839" t="s">
        <v>2961</v>
      </c>
      <c r="W3" s="839" t="s">
        <v>2962</v>
      </c>
      <c r="X3" s="839" t="s">
        <v>2963</v>
      </c>
      <c r="Y3" s="839" t="s">
        <v>2964</v>
      </c>
      <c r="Z3" s="839" t="s">
        <v>2965</v>
      </c>
      <c r="AA3" s="839" t="s">
        <v>2966</v>
      </c>
      <c r="AB3" s="839" t="s">
        <v>2967</v>
      </c>
      <c r="AC3" s="839" t="s">
        <v>2968</v>
      </c>
      <c r="AD3" s="839" t="s">
        <v>2969</v>
      </c>
      <c r="AE3" s="839" t="s">
        <v>2970</v>
      </c>
      <c r="AF3" s="839" t="s">
        <v>2971</v>
      </c>
      <c r="AG3" s="839" t="s">
        <v>2972</v>
      </c>
      <c r="AH3" s="839" t="s">
        <v>2973</v>
      </c>
      <c r="AI3" s="839" t="s">
        <v>2974</v>
      </c>
      <c r="AJ3" s="839" t="s">
        <v>2975</v>
      </c>
    </row>
    <row r="4" spans="1:36" ht="18.75" customHeight="1" x14ac:dyDescent="0.25">
      <c r="A4" s="117" t="s">
        <v>18</v>
      </c>
      <c r="B4" s="119" t="s">
        <v>15</v>
      </c>
      <c r="C4" s="119" t="s">
        <v>14</v>
      </c>
      <c r="D4" s="119" t="s">
        <v>2976</v>
      </c>
      <c r="E4" s="119" t="s">
        <v>2977</v>
      </c>
      <c r="F4" s="119">
        <v>0</v>
      </c>
      <c r="G4" s="119" t="s">
        <v>35</v>
      </c>
      <c r="H4" s="119" t="s">
        <v>2978</v>
      </c>
      <c r="I4" s="119">
        <v>496</v>
      </c>
      <c r="J4" s="120" t="s">
        <v>2979</v>
      </c>
      <c r="K4" s="120" t="s">
        <v>35</v>
      </c>
      <c r="L4" s="119" t="s">
        <v>2980</v>
      </c>
      <c r="M4" s="119" t="s">
        <v>2981</v>
      </c>
      <c r="N4" s="119" t="s">
        <v>2982</v>
      </c>
      <c r="O4" s="119" t="s">
        <v>35</v>
      </c>
      <c r="P4" s="119" t="s">
        <v>2983</v>
      </c>
      <c r="Q4" s="119" t="s">
        <v>2984</v>
      </c>
      <c r="R4" s="119" t="s">
        <v>2985</v>
      </c>
      <c r="S4" s="119" t="s">
        <v>2985</v>
      </c>
      <c r="T4" s="119" t="s">
        <v>2986</v>
      </c>
      <c r="U4" s="119" t="s">
        <v>2987</v>
      </c>
      <c r="V4" s="119" t="s">
        <v>2988</v>
      </c>
      <c r="W4" s="119" t="s">
        <v>2989</v>
      </c>
      <c r="X4" s="119" t="s">
        <v>2990</v>
      </c>
      <c r="Y4" s="119" t="s">
        <v>2991</v>
      </c>
      <c r="Z4" s="119" t="s">
        <v>2992</v>
      </c>
      <c r="AA4" s="119" t="s">
        <v>2993</v>
      </c>
      <c r="AB4" s="119" t="s">
        <v>2994</v>
      </c>
      <c r="AC4" s="119" t="s">
        <v>2995</v>
      </c>
      <c r="AD4" s="119" t="s">
        <v>2996</v>
      </c>
      <c r="AE4" s="119" t="s">
        <v>2997</v>
      </c>
      <c r="AF4" s="119" t="s">
        <v>2998</v>
      </c>
      <c r="AG4" s="119" t="s">
        <v>2999</v>
      </c>
      <c r="AH4" s="119" t="s">
        <v>3000</v>
      </c>
      <c r="AI4" s="119" t="s">
        <v>3001</v>
      </c>
      <c r="AJ4" s="119" t="s">
        <v>3002</v>
      </c>
    </row>
    <row r="5" spans="1:36" ht="18.75" customHeight="1" x14ac:dyDescent="0.25">
      <c r="A5" s="117" t="s">
        <v>18</v>
      </c>
      <c r="B5" s="119" t="s">
        <v>15</v>
      </c>
      <c r="C5" s="119" t="s">
        <v>14</v>
      </c>
      <c r="D5" s="119" t="s">
        <v>3003</v>
      </c>
      <c r="E5" s="119" t="s">
        <v>2977</v>
      </c>
      <c r="F5" s="119" t="s">
        <v>3004</v>
      </c>
      <c r="G5" s="119" t="s">
        <v>3005</v>
      </c>
      <c r="H5" s="119" t="s">
        <v>3006</v>
      </c>
      <c r="I5" s="119">
        <v>602</v>
      </c>
      <c r="J5" s="120" t="s">
        <v>2979</v>
      </c>
      <c r="K5" s="120" t="s">
        <v>35</v>
      </c>
      <c r="L5" s="119" t="s">
        <v>2980</v>
      </c>
      <c r="M5" s="119" t="s">
        <v>3007</v>
      </c>
      <c r="N5" s="119" t="s">
        <v>3008</v>
      </c>
      <c r="O5" s="119" t="s">
        <v>35</v>
      </c>
      <c r="P5" s="119" t="s">
        <v>3009</v>
      </c>
      <c r="Q5" s="119" t="s">
        <v>2984</v>
      </c>
      <c r="R5" s="119" t="s">
        <v>2985</v>
      </c>
      <c r="S5" s="119" t="s">
        <v>2985</v>
      </c>
      <c r="T5" s="119" t="s">
        <v>35</v>
      </c>
      <c r="U5" s="119" t="s">
        <v>35</v>
      </c>
      <c r="V5" s="119" t="s">
        <v>35</v>
      </c>
      <c r="W5" s="119" t="s">
        <v>35</v>
      </c>
      <c r="X5" s="119" t="s">
        <v>35</v>
      </c>
      <c r="Y5" s="119" t="s">
        <v>35</v>
      </c>
      <c r="Z5" s="119" t="s">
        <v>35</v>
      </c>
      <c r="AA5" s="119" t="s">
        <v>35</v>
      </c>
      <c r="AB5" s="119" t="s">
        <v>35</v>
      </c>
      <c r="AC5" s="119" t="s">
        <v>35</v>
      </c>
      <c r="AD5" s="119" t="s">
        <v>35</v>
      </c>
      <c r="AE5" s="119" t="s">
        <v>35</v>
      </c>
      <c r="AF5" s="119" t="s">
        <v>35</v>
      </c>
      <c r="AG5" s="119" t="s">
        <v>35</v>
      </c>
      <c r="AH5" s="119" t="s">
        <v>35</v>
      </c>
      <c r="AI5" s="119" t="s">
        <v>35</v>
      </c>
      <c r="AJ5" s="119" t="s">
        <v>35</v>
      </c>
    </row>
    <row r="6" spans="1:36" ht="18.75" customHeight="1" x14ac:dyDescent="0.25">
      <c r="A6" s="117" t="s">
        <v>18</v>
      </c>
      <c r="B6" s="119" t="s">
        <v>15</v>
      </c>
      <c r="C6" s="119" t="s">
        <v>14</v>
      </c>
      <c r="D6" s="119" t="s">
        <v>3010</v>
      </c>
      <c r="E6" s="119" t="s">
        <v>2977</v>
      </c>
      <c r="F6" s="119" t="s">
        <v>3011</v>
      </c>
      <c r="G6" s="119" t="s">
        <v>3005</v>
      </c>
      <c r="H6" s="119" t="s">
        <v>3012</v>
      </c>
      <c r="I6" s="119">
        <v>330</v>
      </c>
      <c r="J6" s="120" t="s">
        <v>3013</v>
      </c>
      <c r="K6" s="120" t="s">
        <v>35</v>
      </c>
      <c r="L6" s="119" t="s">
        <v>2980</v>
      </c>
      <c r="M6" s="119" t="s">
        <v>3014</v>
      </c>
      <c r="N6" s="119" t="s">
        <v>3015</v>
      </c>
      <c r="O6" s="119" t="s">
        <v>35</v>
      </c>
      <c r="P6" s="119" t="s">
        <v>3016</v>
      </c>
      <c r="Q6" s="119" t="s">
        <v>3017</v>
      </c>
      <c r="R6" s="119" t="s">
        <v>2985</v>
      </c>
      <c r="S6" s="119" t="s">
        <v>35</v>
      </c>
      <c r="T6" s="119" t="s">
        <v>35</v>
      </c>
      <c r="U6" s="119" t="s">
        <v>35</v>
      </c>
      <c r="V6" s="119" t="s">
        <v>35</v>
      </c>
      <c r="W6" s="119" t="s">
        <v>35</v>
      </c>
      <c r="X6" s="119" t="s">
        <v>35</v>
      </c>
      <c r="Y6" s="119" t="s">
        <v>35</v>
      </c>
      <c r="Z6" s="119" t="s">
        <v>35</v>
      </c>
      <c r="AA6" s="119" t="s">
        <v>35</v>
      </c>
      <c r="AB6" s="119" t="s">
        <v>35</v>
      </c>
      <c r="AC6" s="119" t="s">
        <v>35</v>
      </c>
      <c r="AD6" s="119" t="s">
        <v>35</v>
      </c>
      <c r="AE6" s="119" t="s">
        <v>35</v>
      </c>
      <c r="AF6" s="119" t="s">
        <v>35</v>
      </c>
      <c r="AG6" s="119" t="s">
        <v>35</v>
      </c>
      <c r="AH6" s="119" t="s">
        <v>35</v>
      </c>
      <c r="AI6" s="119" t="s">
        <v>35</v>
      </c>
      <c r="AJ6" s="119" t="s">
        <v>35</v>
      </c>
    </row>
    <row r="7" spans="1:36" s="327" customFormat="1" ht="18.75" customHeight="1" x14ac:dyDescent="0.25">
      <c r="A7" s="326" t="s">
        <v>18</v>
      </c>
      <c r="B7" s="805" t="s">
        <v>22</v>
      </c>
      <c r="C7" s="805" t="s">
        <v>21</v>
      </c>
      <c r="D7" s="805" t="s">
        <v>2976</v>
      </c>
      <c r="E7" s="805" t="s">
        <v>2977</v>
      </c>
      <c r="F7" s="805">
        <v>0</v>
      </c>
      <c r="G7" s="805" t="s">
        <v>35</v>
      </c>
      <c r="H7" s="805" t="s">
        <v>3018</v>
      </c>
      <c r="I7" s="328" t="s">
        <v>3019</v>
      </c>
      <c r="J7" s="328" t="s">
        <v>35</v>
      </c>
      <c r="K7" s="328" t="s">
        <v>35</v>
      </c>
      <c r="L7" s="807" t="s">
        <v>2980</v>
      </c>
      <c r="M7" s="805" t="s">
        <v>3020</v>
      </c>
      <c r="N7" s="805" t="s">
        <v>3021</v>
      </c>
      <c r="O7" s="805" t="s">
        <v>35</v>
      </c>
      <c r="P7" s="805" t="s">
        <v>3022</v>
      </c>
      <c r="Q7" s="805" t="s">
        <v>3023</v>
      </c>
      <c r="R7" s="805" t="s">
        <v>2985</v>
      </c>
      <c r="S7" s="805" t="s">
        <v>3024</v>
      </c>
      <c r="T7" s="805" t="s">
        <v>3025</v>
      </c>
      <c r="U7" s="805" t="s">
        <v>3026</v>
      </c>
      <c r="V7" s="805" t="s">
        <v>3027</v>
      </c>
      <c r="W7" s="805" t="s">
        <v>3028</v>
      </c>
      <c r="X7" s="805" t="s">
        <v>3029</v>
      </c>
      <c r="Y7" s="805" t="s">
        <v>3030</v>
      </c>
      <c r="Z7" s="805" t="s">
        <v>3031</v>
      </c>
      <c r="AA7" s="805" t="s">
        <v>3032</v>
      </c>
      <c r="AB7" s="805" t="s">
        <v>3033</v>
      </c>
      <c r="AC7" s="805" t="s">
        <v>3034</v>
      </c>
      <c r="AD7" s="805" t="s">
        <v>3035</v>
      </c>
      <c r="AE7" s="805" t="s">
        <v>3036</v>
      </c>
      <c r="AF7" s="805" t="s">
        <v>3037</v>
      </c>
      <c r="AG7" s="805" t="s">
        <v>3038</v>
      </c>
      <c r="AH7" s="805" t="s">
        <v>3039</v>
      </c>
      <c r="AI7" s="805" t="s">
        <v>3040</v>
      </c>
      <c r="AJ7" s="805" t="s">
        <v>3041</v>
      </c>
    </row>
    <row r="8" spans="1:36" s="327" customFormat="1" ht="18.75" customHeight="1" x14ac:dyDescent="0.25">
      <c r="A8" s="326" t="s">
        <v>18</v>
      </c>
      <c r="B8" s="805" t="s">
        <v>22</v>
      </c>
      <c r="C8" s="805" t="s">
        <v>21</v>
      </c>
      <c r="D8" s="805" t="s">
        <v>3003</v>
      </c>
      <c r="E8" s="805" t="s">
        <v>2977</v>
      </c>
      <c r="F8" s="805" t="s">
        <v>3004</v>
      </c>
      <c r="G8" s="805" t="s">
        <v>3005</v>
      </c>
      <c r="H8" s="805" t="s">
        <v>3042</v>
      </c>
      <c r="I8" s="328" t="s">
        <v>3019</v>
      </c>
      <c r="J8" s="328" t="s">
        <v>35</v>
      </c>
      <c r="K8" s="328" t="s">
        <v>35</v>
      </c>
      <c r="L8" s="807" t="s">
        <v>2980</v>
      </c>
      <c r="M8" s="805" t="s">
        <v>3043</v>
      </c>
      <c r="N8" s="805" t="s">
        <v>3044</v>
      </c>
      <c r="O8" s="805" t="s">
        <v>35</v>
      </c>
      <c r="P8" s="805" t="s">
        <v>3045</v>
      </c>
      <c r="Q8" s="805" t="s">
        <v>3023</v>
      </c>
      <c r="R8" s="805" t="s">
        <v>2985</v>
      </c>
      <c r="S8" s="805" t="s">
        <v>3024</v>
      </c>
      <c r="T8" s="807" t="s">
        <v>35</v>
      </c>
      <c r="U8" s="807" t="s">
        <v>35</v>
      </c>
      <c r="V8" s="807" t="s">
        <v>35</v>
      </c>
      <c r="W8" s="807" t="s">
        <v>35</v>
      </c>
      <c r="X8" s="807" t="s">
        <v>35</v>
      </c>
      <c r="Y8" s="807" t="s">
        <v>35</v>
      </c>
      <c r="Z8" s="807" t="s">
        <v>35</v>
      </c>
      <c r="AA8" s="807" t="s">
        <v>35</v>
      </c>
      <c r="AB8" s="807" t="s">
        <v>35</v>
      </c>
      <c r="AC8" s="807" t="s">
        <v>35</v>
      </c>
      <c r="AD8" s="807" t="s">
        <v>35</v>
      </c>
      <c r="AE8" s="807" t="s">
        <v>35</v>
      </c>
      <c r="AF8" s="807" t="s">
        <v>35</v>
      </c>
      <c r="AG8" s="807" t="s">
        <v>35</v>
      </c>
      <c r="AH8" s="807" t="s">
        <v>35</v>
      </c>
      <c r="AI8" s="807" t="s">
        <v>35</v>
      </c>
      <c r="AJ8" s="807" t="s">
        <v>35</v>
      </c>
    </row>
    <row r="9" spans="1:36" ht="18.75" customHeight="1" x14ac:dyDescent="0.25">
      <c r="A9" s="117" t="s">
        <v>28</v>
      </c>
      <c r="B9" s="119" t="s">
        <v>27</v>
      </c>
      <c r="C9" s="119" t="s">
        <v>26</v>
      </c>
      <c r="D9" s="119" t="s">
        <v>3046</v>
      </c>
      <c r="E9" s="119" t="s">
        <v>2977</v>
      </c>
      <c r="F9" s="119">
        <v>1</v>
      </c>
      <c r="G9" s="119" t="s">
        <v>3047</v>
      </c>
      <c r="H9" s="119" t="s">
        <v>3048</v>
      </c>
      <c r="I9" s="119">
        <v>539</v>
      </c>
      <c r="J9" s="120" t="s">
        <v>3049</v>
      </c>
      <c r="K9" s="120" t="s">
        <v>35</v>
      </c>
      <c r="L9" s="119" t="s">
        <v>2980</v>
      </c>
      <c r="M9" s="119" t="s">
        <v>3050</v>
      </c>
      <c r="N9" s="119" t="s">
        <v>3051</v>
      </c>
      <c r="O9" s="119" t="s">
        <v>35</v>
      </c>
      <c r="P9" s="119" t="s">
        <v>3052</v>
      </c>
      <c r="Q9" s="119" t="s">
        <v>3053</v>
      </c>
      <c r="R9" s="119" t="s">
        <v>7</v>
      </c>
      <c r="S9" s="119" t="s">
        <v>7</v>
      </c>
      <c r="T9" s="119" t="s">
        <v>3054</v>
      </c>
      <c r="U9" s="119" t="s">
        <v>3055</v>
      </c>
      <c r="V9" s="119" t="s">
        <v>3056</v>
      </c>
      <c r="W9" s="119" t="s">
        <v>3057</v>
      </c>
      <c r="X9" s="119" t="s">
        <v>3058</v>
      </c>
      <c r="Y9" s="119" t="s">
        <v>3059</v>
      </c>
      <c r="Z9" s="119" t="s">
        <v>3060</v>
      </c>
      <c r="AA9" s="119" t="s">
        <v>3061</v>
      </c>
      <c r="AB9" s="119" t="s">
        <v>3062</v>
      </c>
      <c r="AC9" s="119" t="s">
        <v>3063</v>
      </c>
      <c r="AD9" s="119" t="s">
        <v>3064</v>
      </c>
      <c r="AE9" s="119" t="s">
        <v>3065</v>
      </c>
      <c r="AF9" s="119" t="s">
        <v>3066</v>
      </c>
      <c r="AG9" s="119" t="s">
        <v>3067</v>
      </c>
      <c r="AH9" s="119" t="s">
        <v>3068</v>
      </c>
      <c r="AI9" s="119" t="s">
        <v>3069</v>
      </c>
      <c r="AJ9" s="119" t="s">
        <v>3070</v>
      </c>
    </row>
    <row r="10" spans="1:36" ht="18.75" customHeight="1" x14ac:dyDescent="0.25">
      <c r="A10" s="117" t="s">
        <v>28</v>
      </c>
      <c r="B10" s="119" t="s">
        <v>27</v>
      </c>
      <c r="C10" s="119" t="s">
        <v>26</v>
      </c>
      <c r="D10" s="119" t="s">
        <v>3071</v>
      </c>
      <c r="E10" s="119" t="s">
        <v>2977</v>
      </c>
      <c r="F10" s="119">
        <v>106</v>
      </c>
      <c r="G10" s="119" t="s">
        <v>3072</v>
      </c>
      <c r="H10" s="119" t="s">
        <v>3073</v>
      </c>
      <c r="I10" s="119">
        <v>539</v>
      </c>
      <c r="J10" s="120" t="s">
        <v>3074</v>
      </c>
      <c r="K10" s="120" t="s">
        <v>35</v>
      </c>
      <c r="L10" s="119" t="s">
        <v>2980</v>
      </c>
      <c r="M10" s="119" t="s">
        <v>3050</v>
      </c>
      <c r="N10" s="119" t="s">
        <v>3051</v>
      </c>
      <c r="O10" s="119" t="s">
        <v>35</v>
      </c>
      <c r="P10" s="119" t="s">
        <v>3052</v>
      </c>
      <c r="Q10" s="119" t="s">
        <v>3053</v>
      </c>
      <c r="R10" s="119" t="s">
        <v>7</v>
      </c>
      <c r="S10" s="119" t="s">
        <v>7</v>
      </c>
      <c r="T10" s="119" t="s">
        <v>35</v>
      </c>
      <c r="U10" s="119" t="s">
        <v>35</v>
      </c>
      <c r="V10" s="119" t="s">
        <v>35</v>
      </c>
      <c r="W10" s="119" t="s">
        <v>35</v>
      </c>
      <c r="X10" s="119" t="s">
        <v>35</v>
      </c>
      <c r="Y10" s="119" t="s">
        <v>35</v>
      </c>
      <c r="Z10" s="119" t="s">
        <v>35</v>
      </c>
      <c r="AA10" s="119" t="s">
        <v>35</v>
      </c>
      <c r="AB10" s="119" t="s">
        <v>35</v>
      </c>
      <c r="AC10" s="119" t="s">
        <v>35</v>
      </c>
      <c r="AD10" s="119" t="s">
        <v>35</v>
      </c>
      <c r="AE10" s="119" t="s">
        <v>35</v>
      </c>
      <c r="AF10" s="119" t="s">
        <v>35</v>
      </c>
      <c r="AG10" s="119" t="s">
        <v>35</v>
      </c>
      <c r="AH10" s="119" t="s">
        <v>35</v>
      </c>
      <c r="AI10" s="119" t="s">
        <v>35</v>
      </c>
      <c r="AJ10" s="119" t="s">
        <v>35</v>
      </c>
    </row>
    <row r="11" spans="1:36" ht="18.75" customHeight="1" x14ac:dyDescent="0.25">
      <c r="A11" s="117" t="s">
        <v>28</v>
      </c>
      <c r="B11" s="119" t="s">
        <v>27</v>
      </c>
      <c r="C11" s="119" t="s">
        <v>26</v>
      </c>
      <c r="D11" s="119" t="s">
        <v>3075</v>
      </c>
      <c r="E11" s="119" t="s">
        <v>2977</v>
      </c>
      <c r="F11" s="119">
        <v>2</v>
      </c>
      <c r="G11" s="119" t="s">
        <v>3076</v>
      </c>
      <c r="H11" s="119" t="s">
        <v>3077</v>
      </c>
      <c r="I11" s="119">
        <v>573</v>
      </c>
      <c r="J11" s="120" t="s">
        <v>3078</v>
      </c>
      <c r="K11" s="120" t="s">
        <v>35</v>
      </c>
      <c r="L11" s="119" t="s">
        <v>2980</v>
      </c>
      <c r="M11" s="119" t="s">
        <v>3079</v>
      </c>
      <c r="N11" s="119" t="s">
        <v>3080</v>
      </c>
      <c r="O11" s="119" t="s">
        <v>35</v>
      </c>
      <c r="P11" s="119" t="s">
        <v>3081</v>
      </c>
      <c r="Q11" s="119" t="s">
        <v>3082</v>
      </c>
      <c r="R11" s="119" t="s">
        <v>7</v>
      </c>
      <c r="S11" s="119" t="s">
        <v>7</v>
      </c>
      <c r="T11" s="119" t="s">
        <v>35</v>
      </c>
      <c r="U11" s="119" t="s">
        <v>35</v>
      </c>
      <c r="V11" s="119" t="s">
        <v>35</v>
      </c>
      <c r="W11" s="119" t="s">
        <v>35</v>
      </c>
      <c r="X11" s="119" t="s">
        <v>35</v>
      </c>
      <c r="Y11" s="119" t="s">
        <v>35</v>
      </c>
      <c r="Z11" s="119" t="s">
        <v>35</v>
      </c>
      <c r="AA11" s="119" t="s">
        <v>35</v>
      </c>
      <c r="AB11" s="119" t="s">
        <v>35</v>
      </c>
      <c r="AC11" s="119" t="s">
        <v>35</v>
      </c>
      <c r="AD11" s="119" t="s">
        <v>35</v>
      </c>
      <c r="AE11" s="119" t="s">
        <v>35</v>
      </c>
      <c r="AF11" s="119" t="s">
        <v>35</v>
      </c>
      <c r="AG11" s="119" t="s">
        <v>35</v>
      </c>
      <c r="AH11" s="119" t="s">
        <v>35</v>
      </c>
      <c r="AI11" s="119" t="s">
        <v>35</v>
      </c>
      <c r="AJ11" s="119" t="s">
        <v>35</v>
      </c>
    </row>
    <row r="12" spans="1:36" ht="18.75" customHeight="1" x14ac:dyDescent="0.25">
      <c r="A12" s="117" t="s">
        <v>28</v>
      </c>
      <c r="B12" s="119" t="s">
        <v>27</v>
      </c>
      <c r="C12" s="119" t="s">
        <v>26</v>
      </c>
      <c r="D12" s="119" t="s">
        <v>3083</v>
      </c>
      <c r="E12" s="119" t="s">
        <v>2977</v>
      </c>
      <c r="F12" s="119">
        <v>5</v>
      </c>
      <c r="G12" s="119" t="s">
        <v>3084</v>
      </c>
      <c r="H12" s="119" t="s">
        <v>3085</v>
      </c>
      <c r="I12" s="119">
        <v>539</v>
      </c>
      <c r="J12" s="120" t="s">
        <v>3086</v>
      </c>
      <c r="K12" s="120" t="s">
        <v>35</v>
      </c>
      <c r="L12" s="119" t="s">
        <v>2980</v>
      </c>
      <c r="M12" s="119" t="s">
        <v>3050</v>
      </c>
      <c r="N12" s="119" t="s">
        <v>3051</v>
      </c>
      <c r="O12" s="119" t="s">
        <v>35</v>
      </c>
      <c r="P12" s="119" t="s">
        <v>3052</v>
      </c>
      <c r="Q12" s="119" t="s">
        <v>3053</v>
      </c>
      <c r="R12" s="119" t="s">
        <v>7</v>
      </c>
      <c r="S12" s="119" t="s">
        <v>7</v>
      </c>
      <c r="T12" s="119" t="s">
        <v>35</v>
      </c>
      <c r="U12" s="119" t="s">
        <v>35</v>
      </c>
      <c r="V12" s="119" t="s">
        <v>35</v>
      </c>
      <c r="W12" s="119" t="s">
        <v>35</v>
      </c>
      <c r="X12" s="119" t="s">
        <v>35</v>
      </c>
      <c r="Y12" s="119" t="s">
        <v>35</v>
      </c>
      <c r="Z12" s="119" t="s">
        <v>35</v>
      </c>
      <c r="AA12" s="119" t="s">
        <v>35</v>
      </c>
      <c r="AB12" s="119" t="s">
        <v>35</v>
      </c>
      <c r="AC12" s="119" t="s">
        <v>35</v>
      </c>
      <c r="AD12" s="119" t="s">
        <v>35</v>
      </c>
      <c r="AE12" s="119" t="s">
        <v>35</v>
      </c>
      <c r="AF12" s="119" t="s">
        <v>35</v>
      </c>
      <c r="AG12" s="119" t="s">
        <v>35</v>
      </c>
      <c r="AH12" s="119" t="s">
        <v>35</v>
      </c>
      <c r="AI12" s="119" t="s">
        <v>35</v>
      </c>
      <c r="AJ12" s="119" t="s">
        <v>35</v>
      </c>
    </row>
    <row r="13" spans="1:36" ht="18.75" customHeight="1" x14ac:dyDescent="0.25">
      <c r="A13" s="118" t="s">
        <v>212</v>
      </c>
      <c r="B13" s="807" t="s">
        <v>211</v>
      </c>
      <c r="C13" s="807" t="s">
        <v>210</v>
      </c>
      <c r="D13" s="807" t="s">
        <v>3087</v>
      </c>
      <c r="E13" s="807" t="s">
        <v>2977</v>
      </c>
      <c r="F13" s="807" t="s">
        <v>3088</v>
      </c>
      <c r="G13" s="807" t="s">
        <v>3084</v>
      </c>
      <c r="H13" s="807" t="s">
        <v>3089</v>
      </c>
      <c r="I13" s="807">
        <v>645</v>
      </c>
      <c r="J13" s="124" t="s">
        <v>3090</v>
      </c>
      <c r="K13" s="124" t="s">
        <v>35</v>
      </c>
      <c r="L13" s="807" t="s">
        <v>2980</v>
      </c>
      <c r="M13" s="807" t="s">
        <v>3091</v>
      </c>
      <c r="N13" s="807" t="s">
        <v>3092</v>
      </c>
      <c r="O13" s="807" t="s">
        <v>35</v>
      </c>
      <c r="P13" s="807" t="s">
        <v>3093</v>
      </c>
      <c r="Q13" s="807" t="s">
        <v>3094</v>
      </c>
      <c r="R13" s="807" t="s">
        <v>7</v>
      </c>
      <c r="S13" s="807" t="s">
        <v>2985</v>
      </c>
      <c r="T13" s="807" t="s">
        <v>3095</v>
      </c>
      <c r="U13" s="807" t="s">
        <v>3096</v>
      </c>
      <c r="V13" s="807" t="s">
        <v>3097</v>
      </c>
      <c r="W13" s="807" t="s">
        <v>3098</v>
      </c>
      <c r="X13" s="807" t="s">
        <v>3098</v>
      </c>
      <c r="Y13" s="807" t="s">
        <v>3098</v>
      </c>
      <c r="Z13" s="807" t="s">
        <v>3099</v>
      </c>
      <c r="AA13" s="807" t="s">
        <v>3100</v>
      </c>
      <c r="AB13" s="807" t="s">
        <v>3101</v>
      </c>
      <c r="AC13" s="807" t="s">
        <v>3102</v>
      </c>
      <c r="AD13" s="807" t="s">
        <v>3103</v>
      </c>
      <c r="AE13" s="807" t="s">
        <v>3104</v>
      </c>
      <c r="AF13" s="807" t="s">
        <v>3105</v>
      </c>
      <c r="AG13" s="807" t="s">
        <v>3105</v>
      </c>
      <c r="AH13" s="807" t="s">
        <v>3106</v>
      </c>
      <c r="AI13" s="807" t="s">
        <v>3107</v>
      </c>
      <c r="AJ13" s="807" t="s">
        <v>3108</v>
      </c>
    </row>
    <row r="14" spans="1:36" ht="18.75" customHeight="1" x14ac:dyDescent="0.25">
      <c r="A14" s="117" t="s">
        <v>258</v>
      </c>
      <c r="B14" s="119" t="s">
        <v>257</v>
      </c>
      <c r="C14" s="119" t="s">
        <v>256</v>
      </c>
      <c r="D14" s="119" t="s">
        <v>3109</v>
      </c>
      <c r="E14" s="119" t="s">
        <v>2977</v>
      </c>
      <c r="F14" s="119" t="s">
        <v>3110</v>
      </c>
      <c r="G14" s="119" t="s">
        <v>3111</v>
      </c>
      <c r="H14" s="119" t="s">
        <v>3112</v>
      </c>
      <c r="I14" s="119">
        <v>884</v>
      </c>
      <c r="J14" s="120" t="s">
        <v>3113</v>
      </c>
      <c r="K14" s="120" t="s">
        <v>35</v>
      </c>
      <c r="L14" s="119" t="s">
        <v>2980</v>
      </c>
      <c r="M14" s="119" t="s">
        <v>3114</v>
      </c>
      <c r="N14" s="119" t="s">
        <v>3115</v>
      </c>
      <c r="O14" s="119" t="s">
        <v>35</v>
      </c>
      <c r="P14" s="119" t="s">
        <v>3116</v>
      </c>
      <c r="Q14" s="119" t="s">
        <v>3117</v>
      </c>
      <c r="R14" s="119" t="s">
        <v>7</v>
      </c>
      <c r="S14" s="119" t="s">
        <v>3024</v>
      </c>
      <c r="T14" s="119" t="s">
        <v>3118</v>
      </c>
      <c r="U14" s="119" t="s">
        <v>3119</v>
      </c>
      <c r="V14" s="119" t="s">
        <v>3120</v>
      </c>
      <c r="W14" s="119" t="s">
        <v>35</v>
      </c>
      <c r="X14" s="119" t="s">
        <v>3121</v>
      </c>
      <c r="Y14" s="119" t="s">
        <v>3122</v>
      </c>
      <c r="Z14" s="119" t="s">
        <v>3123</v>
      </c>
      <c r="AA14" s="119" t="s">
        <v>3124</v>
      </c>
      <c r="AB14" s="119" t="s">
        <v>3125</v>
      </c>
      <c r="AC14" s="119" t="s">
        <v>3126</v>
      </c>
      <c r="AD14" s="119" t="s">
        <v>3127</v>
      </c>
      <c r="AE14" s="119" t="s">
        <v>3128</v>
      </c>
      <c r="AF14" s="119" t="s">
        <v>3129</v>
      </c>
      <c r="AG14" s="119" t="s">
        <v>3130</v>
      </c>
      <c r="AH14" s="119" t="s">
        <v>3131</v>
      </c>
      <c r="AI14" s="119" t="s">
        <v>3132</v>
      </c>
      <c r="AJ14" s="119" t="s">
        <v>3133</v>
      </c>
    </row>
    <row r="15" spans="1:36" ht="18.75" customHeight="1" x14ac:dyDescent="0.25">
      <c r="A15" s="117" t="s">
        <v>258</v>
      </c>
      <c r="B15" s="119" t="s">
        <v>257</v>
      </c>
      <c r="C15" s="119" t="s">
        <v>256</v>
      </c>
      <c r="D15" s="119" t="s">
        <v>3134</v>
      </c>
      <c r="E15" s="119" t="s">
        <v>2977</v>
      </c>
      <c r="F15" s="119" t="s">
        <v>3135</v>
      </c>
      <c r="G15" s="119" t="s">
        <v>3136</v>
      </c>
      <c r="H15" s="119" t="s">
        <v>3137</v>
      </c>
      <c r="I15" s="119">
        <v>929</v>
      </c>
      <c r="J15" s="120" t="s">
        <v>3138</v>
      </c>
      <c r="K15" s="120" t="s">
        <v>35</v>
      </c>
      <c r="L15" s="119" t="s">
        <v>2980</v>
      </c>
      <c r="M15" s="119" t="s">
        <v>3114</v>
      </c>
      <c r="N15" s="119" t="s">
        <v>3115</v>
      </c>
      <c r="O15" s="119" t="s">
        <v>35</v>
      </c>
      <c r="P15" s="119" t="s">
        <v>3139</v>
      </c>
      <c r="Q15" s="119" t="s">
        <v>3117</v>
      </c>
      <c r="R15" s="119" t="s">
        <v>7</v>
      </c>
      <c r="S15" s="119" t="s">
        <v>3024</v>
      </c>
      <c r="T15" s="119" t="s">
        <v>35</v>
      </c>
      <c r="U15" s="119" t="s">
        <v>35</v>
      </c>
      <c r="V15" s="119" t="s">
        <v>35</v>
      </c>
      <c r="W15" s="119" t="s">
        <v>35</v>
      </c>
      <c r="X15" s="119" t="s">
        <v>35</v>
      </c>
      <c r="Y15" s="119" t="s">
        <v>35</v>
      </c>
      <c r="Z15" s="119" t="s">
        <v>35</v>
      </c>
      <c r="AA15" s="119" t="s">
        <v>35</v>
      </c>
      <c r="AB15" s="119" t="s">
        <v>35</v>
      </c>
      <c r="AC15" s="119" t="s">
        <v>35</v>
      </c>
      <c r="AD15" s="119" t="s">
        <v>35</v>
      </c>
      <c r="AE15" s="119" t="s">
        <v>35</v>
      </c>
      <c r="AF15" s="119" t="s">
        <v>35</v>
      </c>
      <c r="AG15" s="119" t="s">
        <v>35</v>
      </c>
      <c r="AH15" s="119" t="s">
        <v>35</v>
      </c>
      <c r="AI15" s="119" t="s">
        <v>35</v>
      </c>
      <c r="AJ15" s="119" t="s">
        <v>35</v>
      </c>
    </row>
    <row r="16" spans="1:36" ht="18.75" customHeight="1" x14ac:dyDescent="0.25">
      <c r="A16" s="117" t="s">
        <v>258</v>
      </c>
      <c r="B16" s="119" t="s">
        <v>257</v>
      </c>
      <c r="C16" s="119" t="s">
        <v>256</v>
      </c>
      <c r="D16" s="119" t="s">
        <v>3140</v>
      </c>
      <c r="E16" s="119" t="s">
        <v>2977</v>
      </c>
      <c r="F16" s="119" t="s">
        <v>312</v>
      </c>
      <c r="G16" s="119" t="s">
        <v>312</v>
      </c>
      <c r="H16" s="119" t="s">
        <v>3141</v>
      </c>
      <c r="I16" s="119">
        <v>179</v>
      </c>
      <c r="J16" s="120" t="s">
        <v>3142</v>
      </c>
      <c r="K16" s="120" t="s">
        <v>35</v>
      </c>
      <c r="L16" s="119" t="s">
        <v>2980</v>
      </c>
      <c r="M16" s="119" t="s">
        <v>3143</v>
      </c>
      <c r="N16" s="119" t="s">
        <v>3144</v>
      </c>
      <c r="O16" s="119" t="s">
        <v>35</v>
      </c>
      <c r="P16" s="119" t="s">
        <v>3145</v>
      </c>
      <c r="Q16" s="119" t="s">
        <v>3117</v>
      </c>
      <c r="R16" s="119" t="s">
        <v>7</v>
      </c>
      <c r="S16" s="119" t="s">
        <v>35</v>
      </c>
      <c r="T16" s="119" t="s">
        <v>35</v>
      </c>
      <c r="U16" s="119" t="s">
        <v>35</v>
      </c>
      <c r="V16" s="119" t="s">
        <v>35</v>
      </c>
      <c r="W16" s="119" t="s">
        <v>35</v>
      </c>
      <c r="X16" s="119" t="s">
        <v>35</v>
      </c>
      <c r="Y16" s="119" t="s">
        <v>35</v>
      </c>
      <c r="Z16" s="119" t="s">
        <v>35</v>
      </c>
      <c r="AA16" s="119" t="s">
        <v>35</v>
      </c>
      <c r="AB16" s="119" t="s">
        <v>35</v>
      </c>
      <c r="AC16" s="119" t="s">
        <v>35</v>
      </c>
      <c r="AD16" s="119" t="s">
        <v>35</v>
      </c>
      <c r="AE16" s="119" t="s">
        <v>35</v>
      </c>
      <c r="AF16" s="119" t="s">
        <v>35</v>
      </c>
      <c r="AG16" s="119" t="s">
        <v>35</v>
      </c>
      <c r="AH16" s="119" t="s">
        <v>35</v>
      </c>
      <c r="AI16" s="119" t="s">
        <v>35</v>
      </c>
      <c r="AJ16" s="119" t="s">
        <v>35</v>
      </c>
    </row>
    <row r="17" spans="1:36" ht="18.75" customHeight="1" x14ac:dyDescent="0.25">
      <c r="A17" s="118" t="s">
        <v>33</v>
      </c>
      <c r="B17" s="807" t="s">
        <v>32</v>
      </c>
      <c r="C17" s="807" t="s">
        <v>31</v>
      </c>
      <c r="D17" s="807" t="s">
        <v>3146</v>
      </c>
      <c r="E17" s="807" t="s">
        <v>2977</v>
      </c>
      <c r="F17" s="807" t="s">
        <v>3147</v>
      </c>
      <c r="G17" s="807" t="s">
        <v>3148</v>
      </c>
      <c r="H17" s="807" t="s">
        <v>3149</v>
      </c>
      <c r="I17" s="807">
        <v>493</v>
      </c>
      <c r="J17" s="124" t="s">
        <v>3150</v>
      </c>
      <c r="K17" s="124" t="s">
        <v>35</v>
      </c>
      <c r="L17" s="807" t="s">
        <v>2980</v>
      </c>
      <c r="M17" s="807" t="s">
        <v>3151</v>
      </c>
      <c r="N17" s="807" t="s">
        <v>3152</v>
      </c>
      <c r="O17" s="807" t="s">
        <v>35</v>
      </c>
      <c r="P17" s="807" t="s">
        <v>3153</v>
      </c>
      <c r="Q17" s="807" t="s">
        <v>3154</v>
      </c>
      <c r="R17" s="807" t="s">
        <v>2985</v>
      </c>
      <c r="S17" s="807" t="s">
        <v>2985</v>
      </c>
      <c r="T17" s="807" t="s">
        <v>3155</v>
      </c>
      <c r="U17" s="807" t="s">
        <v>3156</v>
      </c>
      <c r="V17" s="807" t="s">
        <v>3098</v>
      </c>
      <c r="W17" s="807" t="s">
        <v>3157</v>
      </c>
      <c r="X17" s="807" t="s">
        <v>3158</v>
      </c>
      <c r="Y17" s="807" t="s">
        <v>3157</v>
      </c>
      <c r="Z17" s="807" t="s">
        <v>3159</v>
      </c>
      <c r="AA17" s="807" t="s">
        <v>3160</v>
      </c>
      <c r="AB17" s="807" t="s">
        <v>3161</v>
      </c>
      <c r="AC17" s="807" t="s">
        <v>3162</v>
      </c>
      <c r="AD17" s="807" t="s">
        <v>3163</v>
      </c>
      <c r="AE17" s="807" t="s">
        <v>3164</v>
      </c>
      <c r="AF17" s="807" t="s">
        <v>3105</v>
      </c>
      <c r="AG17" s="807" t="s">
        <v>3165</v>
      </c>
      <c r="AH17" s="807" t="s">
        <v>3166</v>
      </c>
      <c r="AI17" s="807" t="s">
        <v>3167</v>
      </c>
      <c r="AJ17" s="807" t="s">
        <v>3168</v>
      </c>
    </row>
    <row r="18" spans="1:36" ht="18.75" customHeight="1" x14ac:dyDescent="0.25">
      <c r="A18" s="118" t="s">
        <v>33</v>
      </c>
      <c r="B18" s="807" t="s">
        <v>32</v>
      </c>
      <c r="C18" s="807" t="s">
        <v>31</v>
      </c>
      <c r="D18" s="807" t="s">
        <v>3169</v>
      </c>
      <c r="E18" s="807" t="s">
        <v>2977</v>
      </c>
      <c r="F18" s="807">
        <v>0</v>
      </c>
      <c r="G18" s="807" t="s">
        <v>35</v>
      </c>
      <c r="H18" s="807" t="s">
        <v>3170</v>
      </c>
      <c r="I18" s="807">
        <v>413</v>
      </c>
      <c r="J18" s="124" t="s">
        <v>35</v>
      </c>
      <c r="K18" s="124" t="s">
        <v>3171</v>
      </c>
      <c r="L18" s="807" t="s">
        <v>3172</v>
      </c>
      <c r="M18" s="807" t="s">
        <v>3173</v>
      </c>
      <c r="N18" s="807" t="s">
        <v>35</v>
      </c>
      <c r="O18" s="807" t="s">
        <v>35</v>
      </c>
      <c r="P18" s="807" t="s">
        <v>35</v>
      </c>
      <c r="Q18" s="807" t="s">
        <v>35</v>
      </c>
      <c r="R18" s="807" t="s">
        <v>35</v>
      </c>
      <c r="S18" s="807" t="s">
        <v>35</v>
      </c>
      <c r="T18" s="807" t="s">
        <v>35</v>
      </c>
      <c r="U18" s="807" t="s">
        <v>35</v>
      </c>
      <c r="V18" s="807" t="s">
        <v>35</v>
      </c>
      <c r="W18" s="807" t="s">
        <v>35</v>
      </c>
      <c r="X18" s="807" t="s">
        <v>35</v>
      </c>
      <c r="Y18" s="807" t="s">
        <v>35</v>
      </c>
      <c r="Z18" s="807" t="s">
        <v>35</v>
      </c>
      <c r="AA18" s="807" t="s">
        <v>35</v>
      </c>
      <c r="AB18" s="807" t="s">
        <v>35</v>
      </c>
      <c r="AC18" s="807" t="s">
        <v>35</v>
      </c>
      <c r="AD18" s="807" t="s">
        <v>35</v>
      </c>
      <c r="AE18" s="807" t="s">
        <v>35</v>
      </c>
      <c r="AF18" s="807" t="s">
        <v>35</v>
      </c>
      <c r="AG18" s="807" t="s">
        <v>35</v>
      </c>
      <c r="AH18" s="807" t="s">
        <v>35</v>
      </c>
      <c r="AI18" s="807" t="s">
        <v>35</v>
      </c>
      <c r="AJ18" s="807" t="s">
        <v>35</v>
      </c>
    </row>
    <row r="19" spans="1:36" ht="18.75" customHeight="1" x14ac:dyDescent="0.25">
      <c r="A19" s="118" t="s">
        <v>33</v>
      </c>
      <c r="B19" s="807" t="s">
        <v>32</v>
      </c>
      <c r="C19" s="807" t="s">
        <v>31</v>
      </c>
      <c r="D19" s="807" t="s">
        <v>3174</v>
      </c>
      <c r="E19" s="807" t="s">
        <v>2977</v>
      </c>
      <c r="F19" s="807">
        <v>0</v>
      </c>
      <c r="G19" s="807" t="s">
        <v>35</v>
      </c>
      <c r="H19" s="807" t="s">
        <v>3175</v>
      </c>
      <c r="I19" s="807">
        <v>336</v>
      </c>
      <c r="J19" s="124" t="s">
        <v>35</v>
      </c>
      <c r="K19" s="124" t="s">
        <v>3176</v>
      </c>
      <c r="L19" s="807" t="s">
        <v>3172</v>
      </c>
      <c r="M19" s="807" t="s">
        <v>3177</v>
      </c>
      <c r="N19" s="807" t="s">
        <v>35</v>
      </c>
      <c r="O19" s="807" t="s">
        <v>35</v>
      </c>
      <c r="P19" s="807" t="s">
        <v>35</v>
      </c>
      <c r="Q19" s="807" t="s">
        <v>35</v>
      </c>
      <c r="R19" s="807" t="s">
        <v>35</v>
      </c>
      <c r="S19" s="807" t="s">
        <v>35</v>
      </c>
      <c r="T19" s="807" t="s">
        <v>35</v>
      </c>
      <c r="U19" s="807" t="s">
        <v>35</v>
      </c>
      <c r="V19" s="807" t="s">
        <v>35</v>
      </c>
      <c r="W19" s="807" t="s">
        <v>35</v>
      </c>
      <c r="X19" s="807" t="s">
        <v>35</v>
      </c>
      <c r="Y19" s="807" t="s">
        <v>35</v>
      </c>
      <c r="Z19" s="807" t="s">
        <v>35</v>
      </c>
      <c r="AA19" s="807" t="s">
        <v>35</v>
      </c>
      <c r="AB19" s="807" t="s">
        <v>35</v>
      </c>
      <c r="AC19" s="807" t="s">
        <v>35</v>
      </c>
      <c r="AD19" s="807" t="s">
        <v>35</v>
      </c>
      <c r="AE19" s="807" t="s">
        <v>35</v>
      </c>
      <c r="AF19" s="807" t="s">
        <v>35</v>
      </c>
      <c r="AG19" s="807" t="s">
        <v>35</v>
      </c>
      <c r="AH19" s="807" t="s">
        <v>35</v>
      </c>
      <c r="AI19" s="807" t="s">
        <v>35</v>
      </c>
      <c r="AJ19" s="807" t="s">
        <v>35</v>
      </c>
    </row>
    <row r="20" spans="1:36" ht="18.75" customHeight="1" x14ac:dyDescent="0.25">
      <c r="A20" s="118" t="s">
        <v>33</v>
      </c>
      <c r="B20" s="807" t="s">
        <v>32</v>
      </c>
      <c r="C20" s="807" t="s">
        <v>31</v>
      </c>
      <c r="D20" s="807" t="s">
        <v>3178</v>
      </c>
      <c r="E20" s="807" t="s">
        <v>2977</v>
      </c>
      <c r="F20" s="807">
        <v>0</v>
      </c>
      <c r="G20" s="807" t="s">
        <v>35</v>
      </c>
      <c r="H20" s="807" t="s">
        <v>3179</v>
      </c>
      <c r="I20" s="807">
        <v>443</v>
      </c>
      <c r="J20" s="124" t="s">
        <v>3150</v>
      </c>
      <c r="K20" s="124" t="s">
        <v>35</v>
      </c>
      <c r="L20" s="807" t="s">
        <v>2980</v>
      </c>
      <c r="M20" s="807" t="s">
        <v>3180</v>
      </c>
      <c r="N20" s="807" t="s">
        <v>3181</v>
      </c>
      <c r="O20" s="807" t="s">
        <v>35</v>
      </c>
      <c r="P20" s="807" t="s">
        <v>3182</v>
      </c>
      <c r="Q20" s="807" t="s">
        <v>3154</v>
      </c>
      <c r="R20" s="807" t="s">
        <v>2985</v>
      </c>
      <c r="S20" s="807" t="s">
        <v>2985</v>
      </c>
      <c r="T20" s="807" t="s">
        <v>35</v>
      </c>
      <c r="U20" s="807" t="s">
        <v>35</v>
      </c>
      <c r="V20" s="807" t="s">
        <v>35</v>
      </c>
      <c r="W20" s="807" t="s">
        <v>35</v>
      </c>
      <c r="X20" s="807" t="s">
        <v>35</v>
      </c>
      <c r="Y20" s="807" t="s">
        <v>35</v>
      </c>
      <c r="Z20" s="807" t="s">
        <v>35</v>
      </c>
      <c r="AA20" s="807" t="s">
        <v>35</v>
      </c>
      <c r="AB20" s="807" t="s">
        <v>35</v>
      </c>
      <c r="AC20" s="807" t="s">
        <v>35</v>
      </c>
      <c r="AD20" s="807" t="s">
        <v>35</v>
      </c>
      <c r="AE20" s="807" t="s">
        <v>35</v>
      </c>
      <c r="AF20" s="807" t="s">
        <v>35</v>
      </c>
      <c r="AG20" s="807" t="s">
        <v>35</v>
      </c>
      <c r="AH20" s="807" t="s">
        <v>35</v>
      </c>
      <c r="AI20" s="807" t="s">
        <v>35</v>
      </c>
      <c r="AJ20" s="807" t="s">
        <v>35</v>
      </c>
    </row>
    <row r="21" spans="1:36" ht="18.75" customHeight="1" x14ac:dyDescent="0.25">
      <c r="A21" s="117" t="s">
        <v>38</v>
      </c>
      <c r="B21" s="119" t="s">
        <v>37</v>
      </c>
      <c r="C21" s="119" t="s">
        <v>36</v>
      </c>
      <c r="D21" s="119" t="s">
        <v>3183</v>
      </c>
      <c r="E21" s="119" t="s">
        <v>2977</v>
      </c>
      <c r="F21" s="119" t="s">
        <v>312</v>
      </c>
      <c r="G21" s="119" t="s">
        <v>312</v>
      </c>
      <c r="H21" s="119" t="s">
        <v>3184</v>
      </c>
      <c r="I21" s="119">
        <v>1166</v>
      </c>
      <c r="J21" s="120" t="s">
        <v>3185</v>
      </c>
      <c r="K21" s="120" t="s">
        <v>35</v>
      </c>
      <c r="L21" s="119" t="s">
        <v>2980</v>
      </c>
      <c r="M21" s="119" t="s">
        <v>3186</v>
      </c>
      <c r="N21" s="119" t="s">
        <v>3187</v>
      </c>
      <c r="O21" s="119" t="s">
        <v>35</v>
      </c>
      <c r="P21" s="119" t="s">
        <v>3188</v>
      </c>
      <c r="Q21" s="119" t="s">
        <v>3189</v>
      </c>
      <c r="R21" s="119" t="s">
        <v>7</v>
      </c>
      <c r="S21" s="119" t="s">
        <v>3024</v>
      </c>
      <c r="T21" s="119" t="s">
        <v>3190</v>
      </c>
      <c r="U21" s="119" t="s">
        <v>3191</v>
      </c>
      <c r="V21" s="119" t="s">
        <v>3192</v>
      </c>
      <c r="W21" s="119" t="s">
        <v>3193</v>
      </c>
      <c r="X21" s="119" t="s">
        <v>3194</v>
      </c>
      <c r="Y21" s="119" t="s">
        <v>3195</v>
      </c>
      <c r="Z21" s="119" t="s">
        <v>3196</v>
      </c>
      <c r="AA21" s="119" t="s">
        <v>3197</v>
      </c>
      <c r="AB21" s="119" t="s">
        <v>3198</v>
      </c>
      <c r="AC21" s="119" t="s">
        <v>3199</v>
      </c>
      <c r="AD21" s="119" t="s">
        <v>3200</v>
      </c>
      <c r="AE21" s="119" t="s">
        <v>3201</v>
      </c>
      <c r="AF21" s="119" t="s">
        <v>3202</v>
      </c>
      <c r="AG21" s="119" t="s">
        <v>3203</v>
      </c>
      <c r="AH21" s="119" t="s">
        <v>3204</v>
      </c>
      <c r="AI21" s="119" t="s">
        <v>3205</v>
      </c>
      <c r="AJ21" s="119" t="s">
        <v>3206</v>
      </c>
    </row>
    <row r="22" spans="1:36" ht="18.75" customHeight="1" x14ac:dyDescent="0.25">
      <c r="A22" s="117" t="s">
        <v>38</v>
      </c>
      <c r="B22" s="119" t="s">
        <v>37</v>
      </c>
      <c r="C22" s="119" t="s">
        <v>36</v>
      </c>
      <c r="D22" s="119" t="s">
        <v>3207</v>
      </c>
      <c r="E22" s="119" t="s">
        <v>2977</v>
      </c>
      <c r="F22" s="119" t="s">
        <v>3208</v>
      </c>
      <c r="G22" s="119" t="s">
        <v>3209</v>
      </c>
      <c r="H22" s="119" t="s">
        <v>3210</v>
      </c>
      <c r="I22" s="119">
        <v>1128</v>
      </c>
      <c r="J22" s="120" t="s">
        <v>3211</v>
      </c>
      <c r="K22" s="120" t="s">
        <v>35</v>
      </c>
      <c r="L22" s="119" t="s">
        <v>2980</v>
      </c>
      <c r="M22" s="119" t="s">
        <v>3212</v>
      </c>
      <c r="N22" s="119" t="s">
        <v>3213</v>
      </c>
      <c r="O22" s="119" t="s">
        <v>35</v>
      </c>
      <c r="P22" s="119" t="s">
        <v>3188</v>
      </c>
      <c r="Q22" s="119" t="s">
        <v>3214</v>
      </c>
      <c r="R22" s="119" t="s">
        <v>7</v>
      </c>
      <c r="S22" s="119" t="s">
        <v>3024</v>
      </c>
      <c r="T22" s="119" t="s">
        <v>35</v>
      </c>
      <c r="U22" s="119" t="s">
        <v>35</v>
      </c>
      <c r="V22" s="119" t="s">
        <v>35</v>
      </c>
      <c r="W22" s="119" t="s">
        <v>35</v>
      </c>
      <c r="X22" s="119" t="s">
        <v>35</v>
      </c>
      <c r="Y22" s="119" t="s">
        <v>35</v>
      </c>
      <c r="Z22" s="119" t="s">
        <v>35</v>
      </c>
      <c r="AA22" s="119" t="s">
        <v>35</v>
      </c>
      <c r="AB22" s="119" t="s">
        <v>35</v>
      </c>
      <c r="AC22" s="119" t="s">
        <v>35</v>
      </c>
      <c r="AD22" s="119" t="s">
        <v>35</v>
      </c>
      <c r="AE22" s="119" t="s">
        <v>35</v>
      </c>
      <c r="AF22" s="119" t="s">
        <v>35</v>
      </c>
      <c r="AG22" s="119" t="s">
        <v>35</v>
      </c>
      <c r="AH22" s="119" t="s">
        <v>35</v>
      </c>
      <c r="AI22" s="119" t="s">
        <v>35</v>
      </c>
      <c r="AJ22" s="119" t="s">
        <v>35</v>
      </c>
    </row>
    <row r="23" spans="1:36" ht="18.75" customHeight="1" x14ac:dyDescent="0.25">
      <c r="A23" s="117" t="s">
        <v>38</v>
      </c>
      <c r="B23" s="119" t="s">
        <v>37</v>
      </c>
      <c r="C23" s="119" t="s">
        <v>36</v>
      </c>
      <c r="D23" s="119" t="s">
        <v>3215</v>
      </c>
      <c r="E23" s="119" t="s">
        <v>2977</v>
      </c>
      <c r="F23" s="119" t="s">
        <v>3216</v>
      </c>
      <c r="G23" s="119" t="s">
        <v>3209</v>
      </c>
      <c r="H23" s="119" t="s">
        <v>3217</v>
      </c>
      <c r="I23" s="119">
        <v>1204</v>
      </c>
      <c r="J23" s="120" t="s">
        <v>3218</v>
      </c>
      <c r="K23" s="120" t="s">
        <v>35</v>
      </c>
      <c r="L23" s="119" t="s">
        <v>2980</v>
      </c>
      <c r="M23" s="119" t="s">
        <v>3219</v>
      </c>
      <c r="N23" s="119" t="s">
        <v>3220</v>
      </c>
      <c r="O23" s="119" t="s">
        <v>35</v>
      </c>
      <c r="P23" s="119" t="s">
        <v>3188</v>
      </c>
      <c r="Q23" s="119" t="s">
        <v>3189</v>
      </c>
      <c r="R23" s="119" t="s">
        <v>7</v>
      </c>
      <c r="S23" s="119" t="s">
        <v>3024</v>
      </c>
      <c r="T23" s="119" t="s">
        <v>35</v>
      </c>
      <c r="U23" s="119" t="s">
        <v>35</v>
      </c>
      <c r="V23" s="119" t="s">
        <v>35</v>
      </c>
      <c r="W23" s="119" t="s">
        <v>35</v>
      </c>
      <c r="X23" s="119" t="s">
        <v>35</v>
      </c>
      <c r="Y23" s="119" t="s">
        <v>35</v>
      </c>
      <c r="Z23" s="119" t="s">
        <v>35</v>
      </c>
      <c r="AA23" s="119" t="s">
        <v>35</v>
      </c>
      <c r="AB23" s="119" t="s">
        <v>35</v>
      </c>
      <c r="AC23" s="119" t="s">
        <v>35</v>
      </c>
      <c r="AD23" s="119" t="s">
        <v>35</v>
      </c>
      <c r="AE23" s="119" t="s">
        <v>35</v>
      </c>
      <c r="AF23" s="119" t="s">
        <v>35</v>
      </c>
      <c r="AG23" s="119" t="s">
        <v>35</v>
      </c>
      <c r="AH23" s="119" t="s">
        <v>35</v>
      </c>
      <c r="AI23" s="119" t="s">
        <v>35</v>
      </c>
      <c r="AJ23" s="119" t="s">
        <v>35</v>
      </c>
    </row>
    <row r="24" spans="1:36" ht="18.75" customHeight="1" x14ac:dyDescent="0.25">
      <c r="A24" s="117" t="s">
        <v>38</v>
      </c>
      <c r="B24" s="119" t="s">
        <v>37</v>
      </c>
      <c r="C24" s="119" t="s">
        <v>36</v>
      </c>
      <c r="D24" s="119" t="s">
        <v>3221</v>
      </c>
      <c r="E24" s="119" t="s">
        <v>2977</v>
      </c>
      <c r="F24" s="119" t="s">
        <v>3222</v>
      </c>
      <c r="G24" s="119" t="s">
        <v>3209</v>
      </c>
      <c r="H24" s="119" t="s">
        <v>3223</v>
      </c>
      <c r="I24" s="119">
        <v>1168</v>
      </c>
      <c r="J24" s="120" t="s">
        <v>3185</v>
      </c>
      <c r="K24" s="120" t="s">
        <v>35</v>
      </c>
      <c r="L24" s="119" t="s">
        <v>2980</v>
      </c>
      <c r="M24" s="119" t="s">
        <v>3224</v>
      </c>
      <c r="N24" s="119" t="s">
        <v>3225</v>
      </c>
      <c r="O24" s="119" t="s">
        <v>35</v>
      </c>
      <c r="P24" s="119" t="s">
        <v>3226</v>
      </c>
      <c r="Q24" s="119" t="s">
        <v>3214</v>
      </c>
      <c r="R24" s="119" t="s">
        <v>7</v>
      </c>
      <c r="S24" s="119" t="s">
        <v>35</v>
      </c>
      <c r="T24" s="119" t="s">
        <v>35</v>
      </c>
      <c r="U24" s="119" t="s">
        <v>35</v>
      </c>
      <c r="V24" s="119" t="s">
        <v>35</v>
      </c>
      <c r="W24" s="119" t="s">
        <v>35</v>
      </c>
      <c r="X24" s="119" t="s">
        <v>35</v>
      </c>
      <c r="Y24" s="119" t="s">
        <v>35</v>
      </c>
      <c r="Z24" s="119" t="s">
        <v>35</v>
      </c>
      <c r="AA24" s="119" t="s">
        <v>35</v>
      </c>
      <c r="AB24" s="119" t="s">
        <v>35</v>
      </c>
      <c r="AC24" s="119" t="s">
        <v>35</v>
      </c>
      <c r="AD24" s="119" t="s">
        <v>35</v>
      </c>
      <c r="AE24" s="119" t="s">
        <v>35</v>
      </c>
      <c r="AF24" s="119" t="s">
        <v>35</v>
      </c>
      <c r="AG24" s="119" t="s">
        <v>35</v>
      </c>
      <c r="AH24" s="119" t="s">
        <v>35</v>
      </c>
      <c r="AI24" s="119" t="s">
        <v>35</v>
      </c>
      <c r="AJ24" s="119" t="s">
        <v>35</v>
      </c>
    </row>
    <row r="25" spans="1:36" ht="18.75" customHeight="1" x14ac:dyDescent="0.25">
      <c r="A25" s="117" t="s">
        <v>38</v>
      </c>
      <c r="B25" s="119" t="s">
        <v>37</v>
      </c>
      <c r="C25" s="119" t="s">
        <v>36</v>
      </c>
      <c r="D25" s="119" t="s">
        <v>3227</v>
      </c>
      <c r="E25" s="119" t="s">
        <v>2977</v>
      </c>
      <c r="F25" s="119" t="s">
        <v>312</v>
      </c>
      <c r="G25" s="119" t="s">
        <v>312</v>
      </c>
      <c r="H25" s="119" t="s">
        <v>3228</v>
      </c>
      <c r="I25" s="119">
        <v>1233</v>
      </c>
      <c r="J25" s="120" t="s">
        <v>3229</v>
      </c>
      <c r="K25" s="120" t="s">
        <v>35</v>
      </c>
      <c r="L25" s="119" t="s">
        <v>2980</v>
      </c>
      <c r="M25" s="119" t="s">
        <v>3230</v>
      </c>
      <c r="N25" s="119" t="s">
        <v>3231</v>
      </c>
      <c r="O25" s="119" t="s">
        <v>35</v>
      </c>
      <c r="P25" s="119" t="s">
        <v>3226</v>
      </c>
      <c r="Q25" s="119" t="s">
        <v>3232</v>
      </c>
      <c r="R25" s="119" t="s">
        <v>7</v>
      </c>
      <c r="S25" s="119" t="s">
        <v>3024</v>
      </c>
      <c r="T25" s="119" t="s">
        <v>35</v>
      </c>
      <c r="U25" s="119" t="s">
        <v>35</v>
      </c>
      <c r="V25" s="119" t="s">
        <v>35</v>
      </c>
      <c r="W25" s="119" t="s">
        <v>35</v>
      </c>
      <c r="X25" s="119" t="s">
        <v>35</v>
      </c>
      <c r="Y25" s="119" t="s">
        <v>35</v>
      </c>
      <c r="Z25" s="119" t="s">
        <v>35</v>
      </c>
      <c r="AA25" s="119" t="s">
        <v>35</v>
      </c>
      <c r="AB25" s="119" t="s">
        <v>35</v>
      </c>
      <c r="AC25" s="119" t="s">
        <v>35</v>
      </c>
      <c r="AD25" s="119" t="s">
        <v>35</v>
      </c>
      <c r="AE25" s="119" t="s">
        <v>35</v>
      </c>
      <c r="AF25" s="119" t="s">
        <v>35</v>
      </c>
      <c r="AG25" s="119" t="s">
        <v>35</v>
      </c>
      <c r="AH25" s="119" t="s">
        <v>35</v>
      </c>
      <c r="AI25" s="119" t="s">
        <v>35</v>
      </c>
      <c r="AJ25" s="119" t="s">
        <v>35</v>
      </c>
    </row>
    <row r="26" spans="1:36" ht="18.75" customHeight="1" x14ac:dyDescent="0.25">
      <c r="A26" s="118" t="s">
        <v>43</v>
      </c>
      <c r="B26" s="807" t="s">
        <v>42</v>
      </c>
      <c r="C26" s="807" t="s">
        <v>41</v>
      </c>
      <c r="D26" s="807" t="s">
        <v>3233</v>
      </c>
      <c r="E26" s="807" t="s">
        <v>2977</v>
      </c>
      <c r="F26" s="807" t="s">
        <v>3234</v>
      </c>
      <c r="G26" s="807" t="s">
        <v>3235</v>
      </c>
      <c r="H26" s="807" t="s">
        <v>3236</v>
      </c>
      <c r="I26" s="807">
        <v>304</v>
      </c>
      <c r="J26" s="124" t="s">
        <v>35</v>
      </c>
      <c r="K26" s="124" t="s">
        <v>3237</v>
      </c>
      <c r="L26" s="807" t="s">
        <v>3172</v>
      </c>
      <c r="M26" s="807" t="s">
        <v>3238</v>
      </c>
      <c r="N26" s="807" t="s">
        <v>35</v>
      </c>
      <c r="O26" s="807" t="s">
        <v>35</v>
      </c>
      <c r="P26" s="807" t="s">
        <v>35</v>
      </c>
      <c r="Q26" s="807" t="s">
        <v>35</v>
      </c>
      <c r="R26" s="807" t="s">
        <v>35</v>
      </c>
      <c r="S26" s="807" t="s">
        <v>35</v>
      </c>
      <c r="T26" s="807" t="s">
        <v>3239</v>
      </c>
      <c r="U26" s="807" t="s">
        <v>3240</v>
      </c>
      <c r="V26" s="807" t="s">
        <v>3241</v>
      </c>
      <c r="W26" s="807" t="s">
        <v>3242</v>
      </c>
      <c r="X26" s="807" t="s">
        <v>3243</v>
      </c>
      <c r="Y26" s="807" t="s">
        <v>3244</v>
      </c>
      <c r="Z26" s="807" t="s">
        <v>3245</v>
      </c>
      <c r="AA26" s="807" t="s">
        <v>3246</v>
      </c>
      <c r="AB26" s="807" t="s">
        <v>3247</v>
      </c>
      <c r="AC26" s="807" t="s">
        <v>3248</v>
      </c>
      <c r="AD26" s="807" t="s">
        <v>3249</v>
      </c>
      <c r="AE26" s="807" t="s">
        <v>3250</v>
      </c>
      <c r="AF26" s="807" t="s">
        <v>3251</v>
      </c>
      <c r="AG26" s="807" t="s">
        <v>3252</v>
      </c>
      <c r="AH26" s="807" t="s">
        <v>3253</v>
      </c>
      <c r="AI26" s="807" t="s">
        <v>3254</v>
      </c>
      <c r="AJ26" s="807" t="s">
        <v>3255</v>
      </c>
    </row>
    <row r="27" spans="1:36" ht="18.75" customHeight="1" x14ac:dyDescent="0.25">
      <c r="A27" s="118" t="s">
        <v>43</v>
      </c>
      <c r="B27" s="807" t="s">
        <v>42</v>
      </c>
      <c r="C27" s="807" t="s">
        <v>41</v>
      </c>
      <c r="D27" s="807" t="s">
        <v>3256</v>
      </c>
      <c r="E27" s="807" t="s">
        <v>2977</v>
      </c>
      <c r="F27" s="807" t="s">
        <v>3257</v>
      </c>
      <c r="G27" s="807" t="s">
        <v>3148</v>
      </c>
      <c r="H27" s="807" t="s">
        <v>3258</v>
      </c>
      <c r="I27" s="807">
        <v>251</v>
      </c>
      <c r="J27" s="124" t="s">
        <v>3259</v>
      </c>
      <c r="K27" s="124" t="s">
        <v>35</v>
      </c>
      <c r="L27" s="807" t="s">
        <v>2980</v>
      </c>
      <c r="M27" s="807" t="s">
        <v>3260</v>
      </c>
      <c r="N27" s="807" t="s">
        <v>3261</v>
      </c>
      <c r="O27" s="807" t="s">
        <v>35</v>
      </c>
      <c r="P27" s="807" t="s">
        <v>3262</v>
      </c>
      <c r="Q27" s="807" t="s">
        <v>3263</v>
      </c>
      <c r="R27" s="807" t="s">
        <v>35</v>
      </c>
      <c r="S27" s="807" t="s">
        <v>3024</v>
      </c>
      <c r="T27" s="807" t="s">
        <v>35</v>
      </c>
      <c r="U27" s="807" t="s">
        <v>35</v>
      </c>
      <c r="V27" s="807" t="s">
        <v>35</v>
      </c>
      <c r="W27" s="807" t="s">
        <v>35</v>
      </c>
      <c r="X27" s="807" t="s">
        <v>35</v>
      </c>
      <c r="Y27" s="807" t="s">
        <v>35</v>
      </c>
      <c r="Z27" s="807" t="s">
        <v>35</v>
      </c>
      <c r="AA27" s="807" t="s">
        <v>35</v>
      </c>
      <c r="AB27" s="807" t="s">
        <v>35</v>
      </c>
      <c r="AC27" s="807" t="s">
        <v>35</v>
      </c>
      <c r="AD27" s="807" t="s">
        <v>35</v>
      </c>
      <c r="AE27" s="807" t="s">
        <v>35</v>
      </c>
      <c r="AF27" s="807" t="s">
        <v>35</v>
      </c>
      <c r="AG27" s="807" t="s">
        <v>35</v>
      </c>
      <c r="AH27" s="807" t="s">
        <v>35</v>
      </c>
      <c r="AI27" s="807" t="s">
        <v>35</v>
      </c>
      <c r="AJ27" s="807" t="s">
        <v>35</v>
      </c>
    </row>
    <row r="28" spans="1:36" ht="18.75" customHeight="1" x14ac:dyDescent="0.25">
      <c r="A28" s="118" t="s">
        <v>43</v>
      </c>
      <c r="B28" s="807" t="s">
        <v>42</v>
      </c>
      <c r="C28" s="807" t="s">
        <v>41</v>
      </c>
      <c r="D28" s="807" t="s">
        <v>3264</v>
      </c>
      <c r="E28" s="807" t="s">
        <v>2977</v>
      </c>
      <c r="F28" s="807" t="s">
        <v>3265</v>
      </c>
      <c r="G28" s="807" t="s">
        <v>3266</v>
      </c>
      <c r="H28" s="807" t="s">
        <v>3267</v>
      </c>
      <c r="I28" s="807">
        <v>304</v>
      </c>
      <c r="J28" s="124" t="s">
        <v>35</v>
      </c>
      <c r="K28" s="124" t="s">
        <v>3237</v>
      </c>
      <c r="L28" s="807" t="s">
        <v>3172</v>
      </c>
      <c r="M28" s="807" t="s">
        <v>3238</v>
      </c>
      <c r="N28" s="807" t="s">
        <v>35</v>
      </c>
      <c r="O28" s="807" t="s">
        <v>35</v>
      </c>
      <c r="P28" s="807" t="s">
        <v>35</v>
      </c>
      <c r="Q28" s="807" t="s">
        <v>35</v>
      </c>
      <c r="R28" s="807" t="s">
        <v>35</v>
      </c>
      <c r="S28" s="807" t="s">
        <v>35</v>
      </c>
      <c r="T28" s="807" t="s">
        <v>35</v>
      </c>
      <c r="U28" s="807" t="s">
        <v>35</v>
      </c>
      <c r="V28" s="807" t="s">
        <v>35</v>
      </c>
      <c r="W28" s="807" t="s">
        <v>35</v>
      </c>
      <c r="X28" s="807" t="s">
        <v>35</v>
      </c>
      <c r="Y28" s="807" t="s">
        <v>35</v>
      </c>
      <c r="Z28" s="807" t="s">
        <v>35</v>
      </c>
      <c r="AA28" s="807" t="s">
        <v>35</v>
      </c>
      <c r="AB28" s="807" t="s">
        <v>35</v>
      </c>
      <c r="AC28" s="807" t="s">
        <v>35</v>
      </c>
      <c r="AD28" s="807" t="s">
        <v>35</v>
      </c>
      <c r="AE28" s="807" t="s">
        <v>35</v>
      </c>
      <c r="AF28" s="807" t="s">
        <v>35</v>
      </c>
      <c r="AG28" s="807" t="s">
        <v>35</v>
      </c>
      <c r="AH28" s="807" t="s">
        <v>35</v>
      </c>
      <c r="AI28" s="807" t="s">
        <v>35</v>
      </c>
      <c r="AJ28" s="807" t="s">
        <v>35</v>
      </c>
    </row>
    <row r="29" spans="1:36" ht="18.75" customHeight="1" x14ac:dyDescent="0.25">
      <c r="A29" s="118" t="s">
        <v>43</v>
      </c>
      <c r="B29" s="807" t="s">
        <v>42</v>
      </c>
      <c r="C29" s="807" t="s">
        <v>41</v>
      </c>
      <c r="D29" s="807" t="s">
        <v>3268</v>
      </c>
      <c r="E29" s="807" t="s">
        <v>2977</v>
      </c>
      <c r="F29" s="807" t="s">
        <v>312</v>
      </c>
      <c r="G29" s="807" t="s">
        <v>312</v>
      </c>
      <c r="H29" s="807" t="s">
        <v>3269</v>
      </c>
      <c r="I29" s="807">
        <v>251</v>
      </c>
      <c r="J29" s="124" t="s">
        <v>2979</v>
      </c>
      <c r="K29" s="124" t="s">
        <v>35</v>
      </c>
      <c r="L29" s="807" t="s">
        <v>2980</v>
      </c>
      <c r="M29" s="807" t="s">
        <v>3260</v>
      </c>
      <c r="N29" s="807" t="s">
        <v>3261</v>
      </c>
      <c r="O29" s="807" t="s">
        <v>35</v>
      </c>
      <c r="P29" s="807" t="s">
        <v>3262</v>
      </c>
      <c r="Q29" s="807" t="s">
        <v>3263</v>
      </c>
      <c r="R29" s="807" t="s">
        <v>35</v>
      </c>
      <c r="S29" s="807" t="s">
        <v>3024</v>
      </c>
      <c r="T29" s="807" t="s">
        <v>35</v>
      </c>
      <c r="U29" s="807" t="s">
        <v>35</v>
      </c>
      <c r="V29" s="807" t="s">
        <v>35</v>
      </c>
      <c r="W29" s="807" t="s">
        <v>35</v>
      </c>
      <c r="X29" s="807" t="s">
        <v>35</v>
      </c>
      <c r="Y29" s="807" t="s">
        <v>35</v>
      </c>
      <c r="Z29" s="807" t="s">
        <v>35</v>
      </c>
      <c r="AA29" s="807" t="s">
        <v>35</v>
      </c>
      <c r="AB29" s="807" t="s">
        <v>35</v>
      </c>
      <c r="AC29" s="807" t="s">
        <v>35</v>
      </c>
      <c r="AD29" s="807" t="s">
        <v>35</v>
      </c>
      <c r="AE29" s="807" t="s">
        <v>35</v>
      </c>
      <c r="AF29" s="807" t="s">
        <v>35</v>
      </c>
      <c r="AG29" s="807" t="s">
        <v>35</v>
      </c>
      <c r="AH29" s="807" t="s">
        <v>35</v>
      </c>
      <c r="AI29" s="807" t="s">
        <v>35</v>
      </c>
      <c r="AJ29" s="807" t="s">
        <v>35</v>
      </c>
    </row>
    <row r="30" spans="1:36" ht="18.75" customHeight="1" x14ac:dyDescent="0.25">
      <c r="A30" s="118" t="s">
        <v>43</v>
      </c>
      <c r="B30" s="807" t="s">
        <v>42</v>
      </c>
      <c r="C30" s="807" t="s">
        <v>41</v>
      </c>
      <c r="D30" s="807" t="s">
        <v>3270</v>
      </c>
      <c r="E30" s="807" t="s">
        <v>2977</v>
      </c>
      <c r="F30" s="807" t="s">
        <v>3271</v>
      </c>
      <c r="G30" s="807" t="s">
        <v>3272</v>
      </c>
      <c r="H30" s="807" t="s">
        <v>3273</v>
      </c>
      <c r="I30" s="807">
        <v>288</v>
      </c>
      <c r="J30" s="124" t="s">
        <v>35</v>
      </c>
      <c r="K30" s="124" t="s">
        <v>3237</v>
      </c>
      <c r="L30" s="807" t="s">
        <v>3172</v>
      </c>
      <c r="M30" s="807" t="s">
        <v>3238</v>
      </c>
      <c r="N30" s="807" t="s">
        <v>35</v>
      </c>
      <c r="O30" s="807" t="s">
        <v>35</v>
      </c>
      <c r="P30" s="807" t="s">
        <v>35</v>
      </c>
      <c r="Q30" s="807" t="s">
        <v>35</v>
      </c>
      <c r="R30" s="807" t="s">
        <v>35</v>
      </c>
      <c r="S30" s="807" t="s">
        <v>35</v>
      </c>
      <c r="T30" s="807" t="s">
        <v>35</v>
      </c>
      <c r="U30" s="807" t="s">
        <v>35</v>
      </c>
      <c r="V30" s="807" t="s">
        <v>35</v>
      </c>
      <c r="W30" s="807" t="s">
        <v>35</v>
      </c>
      <c r="X30" s="807" t="s">
        <v>35</v>
      </c>
      <c r="Y30" s="807" t="s">
        <v>35</v>
      </c>
      <c r="Z30" s="807" t="s">
        <v>35</v>
      </c>
      <c r="AA30" s="807" t="s">
        <v>35</v>
      </c>
      <c r="AB30" s="807" t="s">
        <v>35</v>
      </c>
      <c r="AC30" s="807" t="s">
        <v>35</v>
      </c>
      <c r="AD30" s="807" t="s">
        <v>35</v>
      </c>
      <c r="AE30" s="807" t="s">
        <v>35</v>
      </c>
      <c r="AF30" s="807" t="s">
        <v>35</v>
      </c>
      <c r="AG30" s="807" t="s">
        <v>35</v>
      </c>
      <c r="AH30" s="807" t="s">
        <v>35</v>
      </c>
      <c r="AI30" s="807" t="s">
        <v>35</v>
      </c>
      <c r="AJ30" s="807" t="s">
        <v>35</v>
      </c>
    </row>
    <row r="31" spans="1:36" ht="18.75" customHeight="1" x14ac:dyDescent="0.25">
      <c r="A31" s="118" t="s">
        <v>43</v>
      </c>
      <c r="B31" s="807" t="s">
        <v>42</v>
      </c>
      <c r="C31" s="807" t="s">
        <v>41</v>
      </c>
      <c r="D31" s="807" t="s">
        <v>3274</v>
      </c>
      <c r="E31" s="807" t="s">
        <v>2977</v>
      </c>
      <c r="F31" s="807" t="s">
        <v>3275</v>
      </c>
      <c r="G31" s="807" t="s">
        <v>3276</v>
      </c>
      <c r="H31" s="807" t="s">
        <v>3277</v>
      </c>
      <c r="I31" s="807">
        <v>215</v>
      </c>
      <c r="J31" s="124" t="s">
        <v>35</v>
      </c>
      <c r="K31" s="124" t="s">
        <v>3278</v>
      </c>
      <c r="L31" s="807" t="s">
        <v>3172</v>
      </c>
      <c r="M31" s="807" t="s">
        <v>3279</v>
      </c>
      <c r="N31" s="807" t="s">
        <v>35</v>
      </c>
      <c r="O31" s="807" t="s">
        <v>35</v>
      </c>
      <c r="P31" s="807" t="s">
        <v>35</v>
      </c>
      <c r="Q31" s="807" t="s">
        <v>35</v>
      </c>
      <c r="R31" s="807" t="s">
        <v>35</v>
      </c>
      <c r="S31" s="807" t="s">
        <v>35</v>
      </c>
      <c r="T31" s="807" t="s">
        <v>35</v>
      </c>
      <c r="U31" s="807" t="s">
        <v>35</v>
      </c>
      <c r="V31" s="807" t="s">
        <v>35</v>
      </c>
      <c r="W31" s="807" t="s">
        <v>35</v>
      </c>
      <c r="X31" s="807" t="s">
        <v>35</v>
      </c>
      <c r="Y31" s="807" t="s">
        <v>35</v>
      </c>
      <c r="Z31" s="807" t="s">
        <v>35</v>
      </c>
      <c r="AA31" s="807" t="s">
        <v>35</v>
      </c>
      <c r="AB31" s="807" t="s">
        <v>35</v>
      </c>
      <c r="AC31" s="807" t="s">
        <v>35</v>
      </c>
      <c r="AD31" s="807" t="s">
        <v>35</v>
      </c>
      <c r="AE31" s="807" t="s">
        <v>35</v>
      </c>
      <c r="AF31" s="807" t="s">
        <v>35</v>
      </c>
      <c r="AG31" s="807" t="s">
        <v>35</v>
      </c>
      <c r="AH31" s="807" t="s">
        <v>35</v>
      </c>
      <c r="AI31" s="807" t="s">
        <v>35</v>
      </c>
      <c r="AJ31" s="807" t="s">
        <v>35</v>
      </c>
    </row>
    <row r="32" spans="1:36" ht="18.75" customHeight="1" x14ac:dyDescent="0.25">
      <c r="A32" s="117" t="s">
        <v>48</v>
      </c>
      <c r="B32" s="119" t="s">
        <v>47</v>
      </c>
      <c r="C32" s="119" t="s">
        <v>46</v>
      </c>
      <c r="D32" s="119" t="s">
        <v>3280</v>
      </c>
      <c r="E32" s="119" t="s">
        <v>2977</v>
      </c>
      <c r="F32" s="119" t="s">
        <v>3281</v>
      </c>
      <c r="G32" s="119" t="s">
        <v>3282</v>
      </c>
      <c r="H32" s="119" t="s">
        <v>3283</v>
      </c>
      <c r="I32" s="119">
        <v>162</v>
      </c>
      <c r="J32" s="120" t="s">
        <v>3284</v>
      </c>
      <c r="K32" s="120" t="s">
        <v>35</v>
      </c>
      <c r="L32" s="119" t="s">
        <v>2980</v>
      </c>
      <c r="M32" s="119" t="s">
        <v>3285</v>
      </c>
      <c r="N32" s="119" t="s">
        <v>3286</v>
      </c>
      <c r="O32" s="119" t="s">
        <v>35</v>
      </c>
      <c r="P32" s="119" t="s">
        <v>2983</v>
      </c>
      <c r="Q32" s="119" t="s">
        <v>3287</v>
      </c>
      <c r="R32" s="119" t="s">
        <v>2985</v>
      </c>
      <c r="S32" s="119" t="s">
        <v>3024</v>
      </c>
      <c r="T32" s="119" t="s">
        <v>3288</v>
      </c>
      <c r="U32" s="119" t="s">
        <v>3289</v>
      </c>
      <c r="V32" s="119" t="s">
        <v>3290</v>
      </c>
      <c r="W32" s="119" t="s">
        <v>3291</v>
      </c>
      <c r="X32" s="119" t="s">
        <v>3292</v>
      </c>
      <c r="Y32" s="119" t="s">
        <v>3293</v>
      </c>
      <c r="Z32" s="119" t="s">
        <v>3294</v>
      </c>
      <c r="AA32" s="119" t="s">
        <v>3295</v>
      </c>
      <c r="AB32" s="119" t="s">
        <v>3296</v>
      </c>
      <c r="AC32" s="119" t="s">
        <v>3297</v>
      </c>
      <c r="AD32" s="119" t="s">
        <v>3298</v>
      </c>
      <c r="AE32" s="119" t="s">
        <v>3299</v>
      </c>
      <c r="AF32" s="119" t="s">
        <v>3300</v>
      </c>
      <c r="AG32" s="119" t="s">
        <v>3301</v>
      </c>
      <c r="AH32" s="119" t="s">
        <v>3302</v>
      </c>
      <c r="AI32" s="119" t="s">
        <v>3303</v>
      </c>
      <c r="AJ32" s="119" t="s">
        <v>3304</v>
      </c>
    </row>
    <row r="33" spans="1:36" ht="18.75" customHeight="1" x14ac:dyDescent="0.25">
      <c r="A33" s="117" t="s">
        <v>48</v>
      </c>
      <c r="B33" s="119" t="s">
        <v>47</v>
      </c>
      <c r="C33" s="119" t="s">
        <v>46</v>
      </c>
      <c r="D33" s="119" t="s">
        <v>3305</v>
      </c>
      <c r="E33" s="119" t="s">
        <v>2977</v>
      </c>
      <c r="F33" s="119" t="s">
        <v>3306</v>
      </c>
      <c r="G33" s="119" t="s">
        <v>3111</v>
      </c>
      <c r="H33" s="119" t="s">
        <v>3307</v>
      </c>
      <c r="I33" s="119">
        <v>110</v>
      </c>
      <c r="J33" s="120" t="s">
        <v>3308</v>
      </c>
      <c r="K33" s="120" t="s">
        <v>35</v>
      </c>
      <c r="L33" s="119" t="s">
        <v>2980</v>
      </c>
      <c r="M33" s="119" t="s">
        <v>3309</v>
      </c>
      <c r="N33" s="119" t="s">
        <v>3310</v>
      </c>
      <c r="O33" s="119" t="s">
        <v>35</v>
      </c>
      <c r="P33" s="119" t="s">
        <v>2983</v>
      </c>
      <c r="Q33" s="119" t="s">
        <v>3311</v>
      </c>
      <c r="R33" s="119" t="s">
        <v>2985</v>
      </c>
      <c r="S33" s="119" t="s">
        <v>3024</v>
      </c>
      <c r="T33" s="119" t="s">
        <v>35</v>
      </c>
      <c r="U33" s="119" t="s">
        <v>35</v>
      </c>
      <c r="V33" s="119" t="s">
        <v>35</v>
      </c>
      <c r="W33" s="119" t="s">
        <v>35</v>
      </c>
      <c r="X33" s="119" t="s">
        <v>35</v>
      </c>
      <c r="Y33" s="119" t="s">
        <v>35</v>
      </c>
      <c r="Z33" s="119" t="s">
        <v>35</v>
      </c>
      <c r="AA33" s="119" t="s">
        <v>35</v>
      </c>
      <c r="AB33" s="119" t="s">
        <v>35</v>
      </c>
      <c r="AC33" s="119" t="s">
        <v>35</v>
      </c>
      <c r="AD33" s="119" t="s">
        <v>35</v>
      </c>
      <c r="AE33" s="119" t="s">
        <v>35</v>
      </c>
      <c r="AF33" s="119" t="s">
        <v>35</v>
      </c>
      <c r="AG33" s="119" t="s">
        <v>35</v>
      </c>
      <c r="AH33" s="119" t="s">
        <v>35</v>
      </c>
      <c r="AI33" s="119" t="s">
        <v>35</v>
      </c>
      <c r="AJ33" s="119" t="s">
        <v>35</v>
      </c>
    </row>
    <row r="34" spans="1:36" ht="18.75" customHeight="1" x14ac:dyDescent="0.25">
      <c r="A34" s="117" t="s">
        <v>48</v>
      </c>
      <c r="B34" s="119" t="s">
        <v>47</v>
      </c>
      <c r="C34" s="119" t="s">
        <v>46</v>
      </c>
      <c r="D34" s="119" t="s">
        <v>3312</v>
      </c>
      <c r="E34" s="119" t="s">
        <v>2977</v>
      </c>
      <c r="F34" s="119" t="s">
        <v>3313</v>
      </c>
      <c r="G34" s="119" t="s">
        <v>3111</v>
      </c>
      <c r="H34" s="119" t="s">
        <v>3314</v>
      </c>
      <c r="I34" s="119">
        <v>162</v>
      </c>
      <c r="J34" s="120" t="s">
        <v>3278</v>
      </c>
      <c r="K34" s="120" t="s">
        <v>35</v>
      </c>
      <c r="L34" s="119" t="s">
        <v>2980</v>
      </c>
      <c r="M34" s="119" t="s">
        <v>3285</v>
      </c>
      <c r="N34" s="119" t="s">
        <v>3286</v>
      </c>
      <c r="O34" s="119" t="s">
        <v>35</v>
      </c>
      <c r="P34" s="119" t="s">
        <v>2983</v>
      </c>
      <c r="Q34" s="119" t="s">
        <v>3287</v>
      </c>
      <c r="R34" s="119" t="s">
        <v>2985</v>
      </c>
      <c r="S34" s="119" t="s">
        <v>3024</v>
      </c>
      <c r="T34" s="119" t="s">
        <v>35</v>
      </c>
      <c r="U34" s="119" t="s">
        <v>35</v>
      </c>
      <c r="V34" s="119" t="s">
        <v>35</v>
      </c>
      <c r="W34" s="119" t="s">
        <v>35</v>
      </c>
      <c r="X34" s="119" t="s">
        <v>35</v>
      </c>
      <c r="Y34" s="119" t="s">
        <v>35</v>
      </c>
      <c r="Z34" s="119" t="s">
        <v>35</v>
      </c>
      <c r="AA34" s="119" t="s">
        <v>35</v>
      </c>
      <c r="AB34" s="119" t="s">
        <v>35</v>
      </c>
      <c r="AC34" s="119" t="s">
        <v>35</v>
      </c>
      <c r="AD34" s="119" t="s">
        <v>35</v>
      </c>
      <c r="AE34" s="119" t="s">
        <v>35</v>
      </c>
      <c r="AF34" s="119" t="s">
        <v>35</v>
      </c>
      <c r="AG34" s="119" t="s">
        <v>35</v>
      </c>
      <c r="AH34" s="119" t="s">
        <v>35</v>
      </c>
      <c r="AI34" s="119" t="s">
        <v>35</v>
      </c>
      <c r="AJ34" s="119" t="s">
        <v>35</v>
      </c>
    </row>
    <row r="35" spans="1:36" ht="18.75" customHeight="1" x14ac:dyDescent="0.25">
      <c r="A35" s="117" t="s">
        <v>48</v>
      </c>
      <c r="B35" s="119" t="s">
        <v>47</v>
      </c>
      <c r="C35" s="119" t="s">
        <v>46</v>
      </c>
      <c r="D35" s="119" t="s">
        <v>3315</v>
      </c>
      <c r="E35" s="119" t="s">
        <v>3316</v>
      </c>
      <c r="F35" s="119">
        <v>0</v>
      </c>
      <c r="G35" s="119" t="s">
        <v>35</v>
      </c>
      <c r="H35" s="119" t="s">
        <v>3317</v>
      </c>
      <c r="I35" s="119">
        <v>104</v>
      </c>
      <c r="J35" s="120" t="s">
        <v>3284</v>
      </c>
      <c r="K35" s="120" t="s">
        <v>35</v>
      </c>
      <c r="L35" s="119" t="s">
        <v>3318</v>
      </c>
      <c r="M35" s="119" t="s">
        <v>3319</v>
      </c>
      <c r="N35" s="119" t="s">
        <v>35</v>
      </c>
      <c r="O35" s="119" t="s">
        <v>35</v>
      </c>
      <c r="P35" s="119" t="s">
        <v>35</v>
      </c>
      <c r="Q35" s="119" t="s">
        <v>35</v>
      </c>
      <c r="R35" s="119" t="s">
        <v>35</v>
      </c>
      <c r="S35" s="119" t="s">
        <v>35</v>
      </c>
      <c r="T35" s="119" t="s">
        <v>35</v>
      </c>
      <c r="U35" s="119" t="s">
        <v>35</v>
      </c>
      <c r="V35" s="119" t="s">
        <v>35</v>
      </c>
      <c r="W35" s="119" t="s">
        <v>35</v>
      </c>
      <c r="X35" s="119" t="s">
        <v>35</v>
      </c>
      <c r="Y35" s="119" t="s">
        <v>35</v>
      </c>
      <c r="Z35" s="119" t="s">
        <v>35</v>
      </c>
      <c r="AA35" s="119" t="s">
        <v>35</v>
      </c>
      <c r="AB35" s="119" t="s">
        <v>35</v>
      </c>
      <c r="AC35" s="119" t="s">
        <v>35</v>
      </c>
      <c r="AD35" s="119" t="s">
        <v>35</v>
      </c>
      <c r="AE35" s="119" t="s">
        <v>35</v>
      </c>
      <c r="AF35" s="119" t="s">
        <v>35</v>
      </c>
      <c r="AG35" s="119" t="s">
        <v>35</v>
      </c>
      <c r="AH35" s="119" t="s">
        <v>35</v>
      </c>
      <c r="AI35" s="119" t="s">
        <v>35</v>
      </c>
      <c r="AJ35" s="119" t="s">
        <v>35</v>
      </c>
    </row>
    <row r="36" spans="1:36" ht="18.75" customHeight="1" x14ac:dyDescent="0.25">
      <c r="A36" s="117" t="s">
        <v>48</v>
      </c>
      <c r="B36" s="119" t="s">
        <v>47</v>
      </c>
      <c r="C36" s="119" t="s">
        <v>46</v>
      </c>
      <c r="D36" s="119" t="s">
        <v>3320</v>
      </c>
      <c r="E36" s="119" t="s">
        <v>2977</v>
      </c>
      <c r="F36" s="119">
        <v>0</v>
      </c>
      <c r="G36" s="119" t="s">
        <v>35</v>
      </c>
      <c r="H36" s="119" t="s">
        <v>3321</v>
      </c>
      <c r="I36" s="119">
        <v>142</v>
      </c>
      <c r="J36" s="120" t="s">
        <v>3278</v>
      </c>
      <c r="K36" s="120" t="s">
        <v>35</v>
      </c>
      <c r="L36" s="119" t="s">
        <v>2980</v>
      </c>
      <c r="M36" s="119" t="s">
        <v>3322</v>
      </c>
      <c r="N36" s="119" t="s">
        <v>3323</v>
      </c>
      <c r="O36" s="119" t="s">
        <v>35</v>
      </c>
      <c r="P36" s="119" t="s">
        <v>2983</v>
      </c>
      <c r="Q36" s="119" t="s">
        <v>3324</v>
      </c>
      <c r="R36" s="119" t="s">
        <v>2985</v>
      </c>
      <c r="S36" s="119" t="s">
        <v>3024</v>
      </c>
      <c r="T36" s="119" t="s">
        <v>35</v>
      </c>
      <c r="U36" s="119" t="s">
        <v>35</v>
      </c>
      <c r="V36" s="119" t="s">
        <v>35</v>
      </c>
      <c r="W36" s="119" t="s">
        <v>35</v>
      </c>
      <c r="X36" s="119" t="s">
        <v>35</v>
      </c>
      <c r="Y36" s="119" t="s">
        <v>35</v>
      </c>
      <c r="Z36" s="119" t="s">
        <v>35</v>
      </c>
      <c r="AA36" s="119" t="s">
        <v>35</v>
      </c>
      <c r="AB36" s="119" t="s">
        <v>35</v>
      </c>
      <c r="AC36" s="119" t="s">
        <v>35</v>
      </c>
      <c r="AD36" s="119" t="s">
        <v>35</v>
      </c>
      <c r="AE36" s="119" t="s">
        <v>35</v>
      </c>
      <c r="AF36" s="119" t="s">
        <v>35</v>
      </c>
      <c r="AG36" s="119" t="s">
        <v>35</v>
      </c>
      <c r="AH36" s="119" t="s">
        <v>35</v>
      </c>
      <c r="AI36" s="119" t="s">
        <v>35</v>
      </c>
      <c r="AJ36" s="119" t="s">
        <v>35</v>
      </c>
    </row>
    <row r="37" spans="1:36" ht="18.75" customHeight="1" x14ac:dyDescent="0.25">
      <c r="A37" s="117" t="s">
        <v>48</v>
      </c>
      <c r="B37" s="119" t="s">
        <v>47</v>
      </c>
      <c r="C37" s="119" t="s">
        <v>46</v>
      </c>
      <c r="D37" s="119" t="s">
        <v>3325</v>
      </c>
      <c r="E37" s="119" t="s">
        <v>2977</v>
      </c>
      <c r="F37" s="119" t="s">
        <v>3326</v>
      </c>
      <c r="G37" s="119" t="s">
        <v>3282</v>
      </c>
      <c r="H37" s="119" t="s">
        <v>3327</v>
      </c>
      <c r="I37" s="119">
        <v>162</v>
      </c>
      <c r="J37" s="120" t="s">
        <v>3278</v>
      </c>
      <c r="K37" s="120" t="s">
        <v>35</v>
      </c>
      <c r="L37" s="119" t="s">
        <v>2980</v>
      </c>
      <c r="M37" s="119" t="s">
        <v>3285</v>
      </c>
      <c r="N37" s="119" t="s">
        <v>3286</v>
      </c>
      <c r="O37" s="119" t="s">
        <v>35</v>
      </c>
      <c r="P37" s="119" t="s">
        <v>2983</v>
      </c>
      <c r="Q37" s="119" t="s">
        <v>3287</v>
      </c>
      <c r="R37" s="119" t="s">
        <v>2985</v>
      </c>
      <c r="S37" s="119" t="s">
        <v>3024</v>
      </c>
      <c r="T37" s="119" t="s">
        <v>35</v>
      </c>
      <c r="U37" s="119" t="s">
        <v>35</v>
      </c>
      <c r="V37" s="119" t="s">
        <v>35</v>
      </c>
      <c r="W37" s="119" t="s">
        <v>35</v>
      </c>
      <c r="X37" s="119" t="s">
        <v>35</v>
      </c>
      <c r="Y37" s="119" t="s">
        <v>35</v>
      </c>
      <c r="Z37" s="119" t="s">
        <v>35</v>
      </c>
      <c r="AA37" s="119" t="s">
        <v>35</v>
      </c>
      <c r="AB37" s="119" t="s">
        <v>35</v>
      </c>
      <c r="AC37" s="119" t="s">
        <v>35</v>
      </c>
      <c r="AD37" s="119" t="s">
        <v>35</v>
      </c>
      <c r="AE37" s="119" t="s">
        <v>35</v>
      </c>
      <c r="AF37" s="119" t="s">
        <v>35</v>
      </c>
      <c r="AG37" s="119" t="s">
        <v>35</v>
      </c>
      <c r="AH37" s="119" t="s">
        <v>35</v>
      </c>
      <c r="AI37" s="119" t="s">
        <v>35</v>
      </c>
      <c r="AJ37" s="119" t="s">
        <v>35</v>
      </c>
    </row>
    <row r="38" spans="1:36" ht="18.75" customHeight="1" x14ac:dyDescent="0.25">
      <c r="A38" s="118" t="s">
        <v>915</v>
      </c>
      <c r="B38" s="807" t="s">
        <v>51</v>
      </c>
      <c r="C38" s="807" t="s">
        <v>50</v>
      </c>
      <c r="D38" s="807" t="s">
        <v>3328</v>
      </c>
      <c r="E38" s="807" t="s">
        <v>2977</v>
      </c>
      <c r="F38" s="807" t="s">
        <v>3329</v>
      </c>
      <c r="G38" s="807" t="s">
        <v>3330</v>
      </c>
      <c r="H38" s="807" t="s">
        <v>3331</v>
      </c>
      <c r="I38" s="807">
        <v>2570</v>
      </c>
      <c r="J38" s="124" t="s">
        <v>3332</v>
      </c>
      <c r="K38" s="124" t="s">
        <v>35</v>
      </c>
      <c r="L38" s="807" t="s">
        <v>2980</v>
      </c>
      <c r="M38" s="807" t="s">
        <v>3333</v>
      </c>
      <c r="N38" s="807" t="s">
        <v>3334</v>
      </c>
      <c r="O38" s="807" t="s">
        <v>35</v>
      </c>
      <c r="P38" s="807" t="s">
        <v>3335</v>
      </c>
      <c r="Q38" s="807" t="s">
        <v>3117</v>
      </c>
      <c r="R38" s="807" t="s">
        <v>7</v>
      </c>
      <c r="S38" s="807" t="s">
        <v>3024</v>
      </c>
      <c r="T38" s="807" t="s">
        <v>3336</v>
      </c>
      <c r="U38" s="807" t="s">
        <v>3337</v>
      </c>
      <c r="V38" s="807" t="s">
        <v>3338</v>
      </c>
      <c r="W38" s="807" t="s">
        <v>3339</v>
      </c>
      <c r="X38" s="807" t="s">
        <v>3340</v>
      </c>
      <c r="Y38" s="807" t="s">
        <v>3341</v>
      </c>
      <c r="Z38" s="807" t="s">
        <v>3338</v>
      </c>
      <c r="AA38" s="807" t="s">
        <v>3342</v>
      </c>
      <c r="AB38" s="807" t="s">
        <v>3343</v>
      </c>
      <c r="AC38" s="807" t="s">
        <v>3344</v>
      </c>
      <c r="AD38" s="807" t="s">
        <v>3345</v>
      </c>
      <c r="AE38" s="807" t="s">
        <v>3346</v>
      </c>
      <c r="AF38" s="807" t="s">
        <v>3347</v>
      </c>
      <c r="AG38" s="807" t="s">
        <v>3348</v>
      </c>
      <c r="AH38" s="807" t="s">
        <v>3349</v>
      </c>
      <c r="AI38" s="807" t="s">
        <v>3350</v>
      </c>
      <c r="AJ38" s="807" t="s">
        <v>3351</v>
      </c>
    </row>
    <row r="39" spans="1:36" ht="18.75" customHeight="1" x14ac:dyDescent="0.25">
      <c r="A39" s="118" t="s">
        <v>915</v>
      </c>
      <c r="B39" s="807" t="s">
        <v>51</v>
      </c>
      <c r="C39" s="807" t="s">
        <v>50</v>
      </c>
      <c r="D39" s="807" t="s">
        <v>3352</v>
      </c>
      <c r="E39" s="807" t="s">
        <v>2977</v>
      </c>
      <c r="F39" s="807" t="s">
        <v>3353</v>
      </c>
      <c r="G39" s="807" t="s">
        <v>3330</v>
      </c>
      <c r="H39" s="807" t="s">
        <v>3354</v>
      </c>
      <c r="I39" s="807">
        <v>177</v>
      </c>
      <c r="J39" s="124" t="s">
        <v>3355</v>
      </c>
      <c r="K39" s="124" t="s">
        <v>35</v>
      </c>
      <c r="L39" s="807" t="s">
        <v>2980</v>
      </c>
      <c r="M39" s="807" t="s">
        <v>3356</v>
      </c>
      <c r="N39" s="807" t="s">
        <v>3357</v>
      </c>
      <c r="O39" s="807" t="s">
        <v>35</v>
      </c>
      <c r="P39" s="807" t="s">
        <v>3358</v>
      </c>
      <c r="Q39" s="807" t="s">
        <v>3359</v>
      </c>
      <c r="R39" s="807" t="s">
        <v>7</v>
      </c>
      <c r="S39" s="807" t="s">
        <v>35</v>
      </c>
      <c r="T39" s="807" t="s">
        <v>35</v>
      </c>
      <c r="U39" s="807" t="s">
        <v>35</v>
      </c>
      <c r="V39" s="807" t="s">
        <v>35</v>
      </c>
      <c r="W39" s="807" t="s">
        <v>35</v>
      </c>
      <c r="X39" s="807" t="s">
        <v>35</v>
      </c>
      <c r="Y39" s="807" t="s">
        <v>35</v>
      </c>
      <c r="Z39" s="807" t="s">
        <v>35</v>
      </c>
      <c r="AA39" s="807" t="s">
        <v>35</v>
      </c>
      <c r="AB39" s="807" t="s">
        <v>35</v>
      </c>
      <c r="AC39" s="807" t="s">
        <v>35</v>
      </c>
      <c r="AD39" s="807" t="s">
        <v>35</v>
      </c>
      <c r="AE39" s="807" t="s">
        <v>35</v>
      </c>
      <c r="AF39" s="807" t="s">
        <v>35</v>
      </c>
      <c r="AG39" s="807" t="s">
        <v>35</v>
      </c>
      <c r="AH39" s="807" t="s">
        <v>35</v>
      </c>
      <c r="AI39" s="807" t="s">
        <v>35</v>
      </c>
      <c r="AJ39" s="807" t="s">
        <v>35</v>
      </c>
    </row>
    <row r="40" spans="1:36" ht="18.75" customHeight="1" x14ac:dyDescent="0.25">
      <c r="A40" s="117" t="s">
        <v>916</v>
      </c>
      <c r="B40" s="119" t="s">
        <v>55</v>
      </c>
      <c r="C40" s="119" t="s">
        <v>54</v>
      </c>
      <c r="D40" s="119" t="s">
        <v>3360</v>
      </c>
      <c r="E40" s="119" t="s">
        <v>2977</v>
      </c>
      <c r="F40" s="119" t="s">
        <v>3361</v>
      </c>
      <c r="G40" s="119" t="s">
        <v>3266</v>
      </c>
      <c r="H40" s="119" t="s">
        <v>3362</v>
      </c>
      <c r="I40" s="119">
        <v>698</v>
      </c>
      <c r="J40" s="120" t="s">
        <v>3363</v>
      </c>
      <c r="K40" s="120" t="s">
        <v>35</v>
      </c>
      <c r="L40" s="119" t="s">
        <v>2980</v>
      </c>
      <c r="M40" s="119" t="s">
        <v>3364</v>
      </c>
      <c r="N40" s="119" t="s">
        <v>3365</v>
      </c>
      <c r="O40" s="119" t="s">
        <v>35</v>
      </c>
      <c r="P40" s="119" t="s">
        <v>3366</v>
      </c>
      <c r="Q40" s="119" t="s">
        <v>3117</v>
      </c>
      <c r="R40" s="119" t="s">
        <v>7</v>
      </c>
      <c r="S40" s="119" t="s">
        <v>3024</v>
      </c>
      <c r="T40" s="119" t="s">
        <v>3367</v>
      </c>
      <c r="U40" s="119" t="s">
        <v>3368</v>
      </c>
      <c r="V40" s="119" t="s">
        <v>3369</v>
      </c>
      <c r="W40" s="119" t="s">
        <v>3370</v>
      </c>
      <c r="X40" s="119" t="s">
        <v>3371</v>
      </c>
      <c r="Y40" s="119" t="s">
        <v>3372</v>
      </c>
      <c r="Z40" s="119" t="s">
        <v>3373</v>
      </c>
      <c r="AA40" s="119" t="s">
        <v>3374</v>
      </c>
      <c r="AB40" s="119" t="s">
        <v>3375</v>
      </c>
      <c r="AC40" s="119" t="s">
        <v>3376</v>
      </c>
      <c r="AD40" s="119" t="s">
        <v>3377</v>
      </c>
      <c r="AE40" s="119" t="s">
        <v>3378</v>
      </c>
      <c r="AF40" s="119" t="s">
        <v>3379</v>
      </c>
      <c r="AG40" s="119" t="s">
        <v>3380</v>
      </c>
      <c r="AH40" s="119" t="s">
        <v>3381</v>
      </c>
      <c r="AI40" s="119" t="s">
        <v>3382</v>
      </c>
      <c r="AJ40" s="119" t="s">
        <v>3383</v>
      </c>
    </row>
    <row r="41" spans="1:36" ht="18.75" customHeight="1" x14ac:dyDescent="0.25">
      <c r="A41" s="117" t="s">
        <v>916</v>
      </c>
      <c r="B41" s="119" t="s">
        <v>55</v>
      </c>
      <c r="C41" s="119" t="s">
        <v>54</v>
      </c>
      <c r="D41" s="119" t="s">
        <v>3384</v>
      </c>
      <c r="E41" s="119" t="s">
        <v>2977</v>
      </c>
      <c r="F41" s="119" t="s">
        <v>3385</v>
      </c>
      <c r="G41" s="119" t="s">
        <v>3266</v>
      </c>
      <c r="H41" s="119" t="s">
        <v>3386</v>
      </c>
      <c r="I41" s="119">
        <v>890</v>
      </c>
      <c r="J41" s="120" t="s">
        <v>3387</v>
      </c>
      <c r="K41" s="120" t="s">
        <v>35</v>
      </c>
      <c r="L41" s="119" t="s">
        <v>2980</v>
      </c>
      <c r="M41" s="119" t="s">
        <v>3364</v>
      </c>
      <c r="N41" s="119" t="s">
        <v>3365</v>
      </c>
      <c r="O41" s="119" t="s">
        <v>35</v>
      </c>
      <c r="P41" s="119" t="s">
        <v>3388</v>
      </c>
      <c r="Q41" s="119" t="s">
        <v>3389</v>
      </c>
      <c r="R41" s="119" t="s">
        <v>7</v>
      </c>
      <c r="S41" s="119" t="s">
        <v>3024</v>
      </c>
      <c r="T41" s="119" t="s">
        <v>35</v>
      </c>
      <c r="U41" s="119" t="s">
        <v>35</v>
      </c>
      <c r="V41" s="119" t="s">
        <v>35</v>
      </c>
      <c r="W41" s="119" t="s">
        <v>35</v>
      </c>
      <c r="X41" s="119" t="s">
        <v>35</v>
      </c>
      <c r="Y41" s="119" t="s">
        <v>35</v>
      </c>
      <c r="Z41" s="119" t="s">
        <v>35</v>
      </c>
      <c r="AA41" s="119" t="s">
        <v>35</v>
      </c>
      <c r="AB41" s="119" t="s">
        <v>35</v>
      </c>
      <c r="AC41" s="119" t="s">
        <v>35</v>
      </c>
      <c r="AD41" s="119" t="s">
        <v>35</v>
      </c>
      <c r="AE41" s="119" t="s">
        <v>35</v>
      </c>
      <c r="AF41" s="119" t="s">
        <v>35</v>
      </c>
      <c r="AG41" s="119" t="s">
        <v>35</v>
      </c>
      <c r="AH41" s="119" t="s">
        <v>35</v>
      </c>
      <c r="AI41" s="119" t="s">
        <v>35</v>
      </c>
      <c r="AJ41" s="119" t="s">
        <v>35</v>
      </c>
    </row>
    <row r="42" spans="1:36" ht="18.75" customHeight="1" x14ac:dyDescent="0.25">
      <c r="A42" s="117" t="s">
        <v>916</v>
      </c>
      <c r="B42" s="119" t="s">
        <v>55</v>
      </c>
      <c r="C42" s="119" t="s">
        <v>54</v>
      </c>
      <c r="D42" s="119" t="s">
        <v>3390</v>
      </c>
      <c r="E42" s="119" t="s">
        <v>2977</v>
      </c>
      <c r="F42" s="119" t="s">
        <v>312</v>
      </c>
      <c r="G42" s="119" t="s">
        <v>312</v>
      </c>
      <c r="H42" s="119" t="s">
        <v>3391</v>
      </c>
      <c r="I42" s="119">
        <v>670</v>
      </c>
      <c r="J42" s="120" t="s">
        <v>3392</v>
      </c>
      <c r="K42" s="120" t="s">
        <v>35</v>
      </c>
      <c r="L42" s="119" t="s">
        <v>2980</v>
      </c>
      <c r="M42" s="119" t="s">
        <v>3364</v>
      </c>
      <c r="N42" s="119" t="s">
        <v>3365</v>
      </c>
      <c r="O42" s="119" t="s">
        <v>35</v>
      </c>
      <c r="P42" s="119" t="s">
        <v>3366</v>
      </c>
      <c r="Q42" s="119" t="s">
        <v>3389</v>
      </c>
      <c r="R42" s="119" t="s">
        <v>7</v>
      </c>
      <c r="S42" s="119" t="s">
        <v>3024</v>
      </c>
      <c r="T42" s="119" t="s">
        <v>35</v>
      </c>
      <c r="U42" s="119" t="s">
        <v>35</v>
      </c>
      <c r="V42" s="119" t="s">
        <v>35</v>
      </c>
      <c r="W42" s="119" t="s">
        <v>35</v>
      </c>
      <c r="X42" s="119" t="s">
        <v>35</v>
      </c>
      <c r="Y42" s="119" t="s">
        <v>35</v>
      </c>
      <c r="Z42" s="119" t="s">
        <v>35</v>
      </c>
      <c r="AA42" s="119" t="s">
        <v>35</v>
      </c>
      <c r="AB42" s="119" t="s">
        <v>35</v>
      </c>
      <c r="AC42" s="119" t="s">
        <v>35</v>
      </c>
      <c r="AD42" s="119" t="s">
        <v>35</v>
      </c>
      <c r="AE42" s="119" t="s">
        <v>35</v>
      </c>
      <c r="AF42" s="119" t="s">
        <v>35</v>
      </c>
      <c r="AG42" s="119" t="s">
        <v>35</v>
      </c>
      <c r="AH42" s="119" t="s">
        <v>35</v>
      </c>
      <c r="AI42" s="119" t="s">
        <v>35</v>
      </c>
      <c r="AJ42" s="119" t="s">
        <v>35</v>
      </c>
    </row>
    <row r="43" spans="1:36" ht="18.75" customHeight="1" x14ac:dyDescent="0.25">
      <c r="A43" s="118" t="s">
        <v>917</v>
      </c>
      <c r="B43" s="807" t="s">
        <v>58</v>
      </c>
      <c r="C43" s="807" t="s">
        <v>57</v>
      </c>
      <c r="D43" s="807" t="s">
        <v>3393</v>
      </c>
      <c r="E43" s="807" t="s">
        <v>2977</v>
      </c>
      <c r="F43" s="807" t="s">
        <v>3394</v>
      </c>
      <c r="G43" s="807" t="s">
        <v>3136</v>
      </c>
      <c r="H43" s="807" t="s">
        <v>3395</v>
      </c>
      <c r="I43" s="807">
        <v>572</v>
      </c>
      <c r="J43" s="124" t="s">
        <v>3150</v>
      </c>
      <c r="K43" s="124" t="s">
        <v>35</v>
      </c>
      <c r="L43" s="807" t="s">
        <v>2980</v>
      </c>
      <c r="M43" s="807" t="s">
        <v>3396</v>
      </c>
      <c r="N43" s="807" t="s">
        <v>3397</v>
      </c>
      <c r="O43" s="807" t="s">
        <v>35</v>
      </c>
      <c r="P43" s="807" t="s">
        <v>3052</v>
      </c>
      <c r="Q43" s="807" t="s">
        <v>3398</v>
      </c>
      <c r="R43" s="807" t="s">
        <v>7</v>
      </c>
      <c r="S43" s="807" t="s">
        <v>7</v>
      </c>
      <c r="T43" s="807" t="s">
        <v>3399</v>
      </c>
      <c r="U43" s="807" t="s">
        <v>3400</v>
      </c>
      <c r="V43" s="807" t="s">
        <v>3401</v>
      </c>
      <c r="W43" s="807" t="s">
        <v>3057</v>
      </c>
      <c r="X43" s="807" t="s">
        <v>3402</v>
      </c>
      <c r="Y43" s="807" t="s">
        <v>3403</v>
      </c>
      <c r="Z43" s="807" t="s">
        <v>3404</v>
      </c>
      <c r="AA43" s="807" t="s">
        <v>3405</v>
      </c>
      <c r="AB43" s="807" t="s">
        <v>3406</v>
      </c>
      <c r="AC43" s="807" t="s">
        <v>3407</v>
      </c>
      <c r="AD43" s="807" t="s">
        <v>3408</v>
      </c>
      <c r="AE43" s="807" t="s">
        <v>3409</v>
      </c>
      <c r="AF43" s="807" t="s">
        <v>3410</v>
      </c>
      <c r="AG43" s="807" t="s">
        <v>3411</v>
      </c>
      <c r="AH43" s="807" t="s">
        <v>3412</v>
      </c>
      <c r="AI43" s="807" t="s">
        <v>3413</v>
      </c>
      <c r="AJ43" s="807" t="s">
        <v>3414</v>
      </c>
    </row>
    <row r="44" spans="1:36" ht="18.75" customHeight="1" x14ac:dyDescent="0.25">
      <c r="A44" s="118" t="s">
        <v>917</v>
      </c>
      <c r="B44" s="807" t="s">
        <v>58</v>
      </c>
      <c r="C44" s="807" t="s">
        <v>57</v>
      </c>
      <c r="D44" s="807" t="s">
        <v>3415</v>
      </c>
      <c r="E44" s="807" t="s">
        <v>2977</v>
      </c>
      <c r="F44" s="807">
        <v>0</v>
      </c>
      <c r="G44" s="807" t="s">
        <v>35</v>
      </c>
      <c r="H44" s="807" t="s">
        <v>3416</v>
      </c>
      <c r="I44" s="807">
        <v>158</v>
      </c>
      <c r="J44" s="124" t="s">
        <v>3417</v>
      </c>
      <c r="K44" s="124" t="s">
        <v>35</v>
      </c>
      <c r="L44" s="807" t="s">
        <v>2980</v>
      </c>
      <c r="M44" s="807" t="s">
        <v>3418</v>
      </c>
      <c r="N44" s="807" t="s">
        <v>3419</v>
      </c>
      <c r="O44" s="807" t="s">
        <v>35</v>
      </c>
      <c r="P44" s="807" t="s">
        <v>3420</v>
      </c>
      <c r="Q44" s="807" t="s">
        <v>3421</v>
      </c>
      <c r="R44" s="807" t="s">
        <v>7</v>
      </c>
      <c r="S44" s="807" t="s">
        <v>35</v>
      </c>
      <c r="T44" s="807" t="s">
        <v>35</v>
      </c>
      <c r="U44" s="807" t="s">
        <v>35</v>
      </c>
      <c r="V44" s="807" t="s">
        <v>35</v>
      </c>
      <c r="W44" s="807" t="s">
        <v>35</v>
      </c>
      <c r="X44" s="807" t="s">
        <v>35</v>
      </c>
      <c r="Y44" s="807" t="s">
        <v>35</v>
      </c>
      <c r="Z44" s="807" t="s">
        <v>35</v>
      </c>
      <c r="AA44" s="807" t="s">
        <v>35</v>
      </c>
      <c r="AB44" s="807" t="s">
        <v>35</v>
      </c>
      <c r="AC44" s="807" t="s">
        <v>35</v>
      </c>
      <c r="AD44" s="807" t="s">
        <v>35</v>
      </c>
      <c r="AE44" s="807" t="s">
        <v>35</v>
      </c>
      <c r="AF44" s="807" t="s">
        <v>35</v>
      </c>
      <c r="AG44" s="807" t="s">
        <v>35</v>
      </c>
      <c r="AH44" s="807" t="s">
        <v>35</v>
      </c>
      <c r="AI44" s="807" t="s">
        <v>35</v>
      </c>
      <c r="AJ44" s="807" t="s">
        <v>35</v>
      </c>
    </row>
    <row r="45" spans="1:36" ht="18.75" customHeight="1" x14ac:dyDescent="0.25">
      <c r="A45" s="118" t="s">
        <v>917</v>
      </c>
      <c r="B45" s="807" t="s">
        <v>58</v>
      </c>
      <c r="C45" s="807" t="s">
        <v>57</v>
      </c>
      <c r="D45" s="807" t="s">
        <v>3422</v>
      </c>
      <c r="E45" s="807" t="s">
        <v>2977</v>
      </c>
      <c r="F45" s="807" t="s">
        <v>3423</v>
      </c>
      <c r="G45" s="807" t="s">
        <v>3136</v>
      </c>
      <c r="H45" s="807" t="s">
        <v>3424</v>
      </c>
      <c r="I45" s="807">
        <v>572</v>
      </c>
      <c r="J45" s="124" t="s">
        <v>3150</v>
      </c>
      <c r="K45" s="124" t="s">
        <v>35</v>
      </c>
      <c r="L45" s="807" t="s">
        <v>2980</v>
      </c>
      <c r="M45" s="807" t="s">
        <v>3396</v>
      </c>
      <c r="N45" s="807" t="s">
        <v>3397</v>
      </c>
      <c r="O45" s="807" t="s">
        <v>35</v>
      </c>
      <c r="P45" s="807" t="s">
        <v>3052</v>
      </c>
      <c r="Q45" s="807" t="s">
        <v>3398</v>
      </c>
      <c r="R45" s="807" t="s">
        <v>7</v>
      </c>
      <c r="S45" s="807" t="s">
        <v>7</v>
      </c>
      <c r="T45" s="807" t="s">
        <v>35</v>
      </c>
      <c r="U45" s="807" t="s">
        <v>35</v>
      </c>
      <c r="V45" s="807" t="s">
        <v>35</v>
      </c>
      <c r="W45" s="807" t="s">
        <v>35</v>
      </c>
      <c r="X45" s="807" t="s">
        <v>35</v>
      </c>
      <c r="Y45" s="807" t="s">
        <v>35</v>
      </c>
      <c r="Z45" s="807" t="s">
        <v>35</v>
      </c>
      <c r="AA45" s="807" t="s">
        <v>35</v>
      </c>
      <c r="AB45" s="807" t="s">
        <v>35</v>
      </c>
      <c r="AC45" s="807" t="s">
        <v>35</v>
      </c>
      <c r="AD45" s="807" t="s">
        <v>35</v>
      </c>
      <c r="AE45" s="807" t="s">
        <v>35</v>
      </c>
      <c r="AF45" s="807" t="s">
        <v>35</v>
      </c>
      <c r="AG45" s="807" t="s">
        <v>35</v>
      </c>
      <c r="AH45" s="807" t="s">
        <v>35</v>
      </c>
      <c r="AI45" s="807" t="s">
        <v>35</v>
      </c>
      <c r="AJ45" s="807" t="s">
        <v>35</v>
      </c>
    </row>
    <row r="46" spans="1:36" ht="18.75" customHeight="1" x14ac:dyDescent="0.25">
      <c r="A46" s="117" t="s">
        <v>216</v>
      </c>
      <c r="B46" s="119" t="s">
        <v>62</v>
      </c>
      <c r="C46" s="119" t="s">
        <v>61</v>
      </c>
      <c r="D46" s="119" t="s">
        <v>3425</v>
      </c>
      <c r="E46" s="119" t="s">
        <v>2977</v>
      </c>
      <c r="F46" s="119" t="s">
        <v>3426</v>
      </c>
      <c r="G46" s="119" t="s">
        <v>3276</v>
      </c>
      <c r="H46" s="119" t="s">
        <v>3427</v>
      </c>
      <c r="I46" s="119">
        <v>1925</v>
      </c>
      <c r="J46" s="120" t="s">
        <v>3428</v>
      </c>
      <c r="K46" s="120" t="s">
        <v>35</v>
      </c>
      <c r="L46" s="119" t="s">
        <v>2980</v>
      </c>
      <c r="M46" s="119" t="s">
        <v>3429</v>
      </c>
      <c r="N46" s="119" t="s">
        <v>3430</v>
      </c>
      <c r="O46" s="119" t="s">
        <v>35</v>
      </c>
      <c r="P46" s="119" t="s">
        <v>3431</v>
      </c>
      <c r="Q46" s="119" t="s">
        <v>3432</v>
      </c>
      <c r="R46" s="119" t="s">
        <v>2985</v>
      </c>
      <c r="S46" s="119" t="s">
        <v>3024</v>
      </c>
      <c r="T46" s="119" t="s">
        <v>3433</v>
      </c>
      <c r="U46" s="119" t="s">
        <v>3434</v>
      </c>
      <c r="V46" s="119" t="s">
        <v>3435</v>
      </c>
      <c r="W46" s="119" t="s">
        <v>3436</v>
      </c>
      <c r="X46" s="119" t="s">
        <v>3437</v>
      </c>
      <c r="Y46" s="119" t="s">
        <v>3438</v>
      </c>
      <c r="Z46" s="119" t="s">
        <v>3439</v>
      </c>
      <c r="AA46" s="119" t="s">
        <v>3440</v>
      </c>
      <c r="AB46" s="119" t="s">
        <v>3441</v>
      </c>
      <c r="AC46" s="119" t="s">
        <v>3442</v>
      </c>
      <c r="AD46" s="119" t="s">
        <v>3443</v>
      </c>
      <c r="AE46" s="119" t="s">
        <v>3444</v>
      </c>
      <c r="AF46" s="119" t="s">
        <v>3445</v>
      </c>
      <c r="AG46" s="119" t="s">
        <v>3446</v>
      </c>
      <c r="AH46" s="119" t="s">
        <v>3447</v>
      </c>
      <c r="AI46" s="119" t="s">
        <v>3448</v>
      </c>
      <c r="AJ46" s="119" t="s">
        <v>3449</v>
      </c>
    </row>
    <row r="47" spans="1:36" ht="18.75" customHeight="1" x14ac:dyDescent="0.25">
      <c r="A47" s="117" t="s">
        <v>216</v>
      </c>
      <c r="B47" s="119" t="s">
        <v>62</v>
      </c>
      <c r="C47" s="119" t="s">
        <v>61</v>
      </c>
      <c r="D47" s="119" t="s">
        <v>3450</v>
      </c>
      <c r="E47" s="119" t="s">
        <v>2977</v>
      </c>
      <c r="F47" s="119" t="s">
        <v>3451</v>
      </c>
      <c r="G47" s="119" t="s">
        <v>3276</v>
      </c>
      <c r="H47" s="119" t="s">
        <v>3452</v>
      </c>
      <c r="I47" s="119">
        <v>231</v>
      </c>
      <c r="J47" s="120" t="s">
        <v>35</v>
      </c>
      <c r="K47" s="120" t="s">
        <v>35</v>
      </c>
      <c r="L47" s="119" t="s">
        <v>3453</v>
      </c>
      <c r="M47" s="120" t="s">
        <v>35</v>
      </c>
      <c r="N47" s="120" t="s">
        <v>35</v>
      </c>
      <c r="O47" s="119">
        <v>4919</v>
      </c>
      <c r="P47" s="119" t="s">
        <v>35</v>
      </c>
      <c r="Q47" s="119" t="s">
        <v>35</v>
      </c>
      <c r="R47" s="119" t="s">
        <v>35</v>
      </c>
      <c r="S47" s="119" t="s">
        <v>35</v>
      </c>
      <c r="T47" s="119" t="s">
        <v>35</v>
      </c>
      <c r="U47" s="119" t="s">
        <v>35</v>
      </c>
      <c r="V47" s="119" t="s">
        <v>35</v>
      </c>
      <c r="W47" s="119" t="s">
        <v>35</v>
      </c>
      <c r="X47" s="119" t="s">
        <v>35</v>
      </c>
      <c r="Y47" s="119" t="s">
        <v>35</v>
      </c>
      <c r="Z47" s="119" t="s">
        <v>35</v>
      </c>
      <c r="AA47" s="119" t="s">
        <v>35</v>
      </c>
      <c r="AB47" s="119" t="s">
        <v>35</v>
      </c>
      <c r="AC47" s="119" t="s">
        <v>35</v>
      </c>
      <c r="AD47" s="119" t="s">
        <v>35</v>
      </c>
      <c r="AE47" s="119" t="s">
        <v>35</v>
      </c>
      <c r="AF47" s="119" t="s">
        <v>35</v>
      </c>
      <c r="AG47" s="119" t="s">
        <v>35</v>
      </c>
      <c r="AH47" s="119" t="s">
        <v>35</v>
      </c>
      <c r="AI47" s="119" t="s">
        <v>35</v>
      </c>
      <c r="AJ47" s="119" t="s">
        <v>35</v>
      </c>
    </row>
    <row r="48" spans="1:36" ht="18.75" customHeight="1" x14ac:dyDescent="0.25">
      <c r="A48" s="117" t="s">
        <v>216</v>
      </c>
      <c r="B48" s="119" t="s">
        <v>62</v>
      </c>
      <c r="C48" s="119" t="s">
        <v>61</v>
      </c>
      <c r="D48" s="119" t="s">
        <v>3454</v>
      </c>
      <c r="E48" s="119" t="s">
        <v>3316</v>
      </c>
      <c r="F48" s="119" t="s">
        <v>3455</v>
      </c>
      <c r="G48" s="119" t="s">
        <v>3456</v>
      </c>
      <c r="H48" s="119" t="s">
        <v>3457</v>
      </c>
      <c r="I48" s="119">
        <v>380</v>
      </c>
      <c r="J48" s="120" t="s">
        <v>3458</v>
      </c>
      <c r="K48" s="120" t="s">
        <v>35</v>
      </c>
      <c r="L48" s="119" t="s">
        <v>3459</v>
      </c>
      <c r="M48" s="119" t="s">
        <v>3460</v>
      </c>
      <c r="N48" s="119" t="s">
        <v>3461</v>
      </c>
      <c r="O48" s="119" t="s">
        <v>35</v>
      </c>
      <c r="P48" s="119" t="s">
        <v>3462</v>
      </c>
      <c r="Q48" s="119" t="s">
        <v>3463</v>
      </c>
      <c r="R48" s="119" t="s">
        <v>2985</v>
      </c>
      <c r="S48" s="119" t="s">
        <v>35</v>
      </c>
      <c r="T48" s="119" t="s">
        <v>35</v>
      </c>
      <c r="U48" s="119" t="s">
        <v>35</v>
      </c>
      <c r="V48" s="119" t="s">
        <v>35</v>
      </c>
      <c r="W48" s="119" t="s">
        <v>35</v>
      </c>
      <c r="X48" s="119" t="s">
        <v>35</v>
      </c>
      <c r="Y48" s="119" t="s">
        <v>35</v>
      </c>
      <c r="Z48" s="119" t="s">
        <v>35</v>
      </c>
      <c r="AA48" s="119" t="s">
        <v>35</v>
      </c>
      <c r="AB48" s="119" t="s">
        <v>35</v>
      </c>
      <c r="AC48" s="119" t="s">
        <v>35</v>
      </c>
      <c r="AD48" s="119" t="s">
        <v>35</v>
      </c>
      <c r="AE48" s="119" t="s">
        <v>35</v>
      </c>
      <c r="AF48" s="119" t="s">
        <v>35</v>
      </c>
      <c r="AG48" s="119" t="s">
        <v>35</v>
      </c>
      <c r="AH48" s="119" t="s">
        <v>35</v>
      </c>
      <c r="AI48" s="119" t="s">
        <v>35</v>
      </c>
      <c r="AJ48" s="119" t="s">
        <v>35</v>
      </c>
    </row>
    <row r="49" spans="1:36" ht="18.75" customHeight="1" x14ac:dyDescent="0.25">
      <c r="A49" s="118" t="s">
        <v>216</v>
      </c>
      <c r="B49" s="807" t="s">
        <v>215</v>
      </c>
      <c r="C49" s="807" t="s">
        <v>214</v>
      </c>
      <c r="D49" s="807" t="s">
        <v>3425</v>
      </c>
      <c r="E49" s="807" t="s">
        <v>2977</v>
      </c>
      <c r="F49" s="807" t="s">
        <v>3426</v>
      </c>
      <c r="G49" s="807" t="s">
        <v>3276</v>
      </c>
      <c r="H49" s="807" t="s">
        <v>3427</v>
      </c>
      <c r="I49" s="807">
        <v>1925</v>
      </c>
      <c r="J49" s="124" t="s">
        <v>3464</v>
      </c>
      <c r="K49" s="124" t="s">
        <v>35</v>
      </c>
      <c r="L49" s="807" t="s">
        <v>2980</v>
      </c>
      <c r="M49" s="807" t="s">
        <v>3465</v>
      </c>
      <c r="N49" s="807" t="s">
        <v>3466</v>
      </c>
      <c r="O49" s="807" t="s">
        <v>35</v>
      </c>
      <c r="P49" s="807" t="s">
        <v>3366</v>
      </c>
      <c r="Q49" s="807" t="s">
        <v>3117</v>
      </c>
      <c r="R49" s="807" t="s">
        <v>7</v>
      </c>
      <c r="S49" s="807" t="s">
        <v>3024</v>
      </c>
      <c r="T49" s="807" t="s">
        <v>3467</v>
      </c>
      <c r="U49" s="807" t="s">
        <v>3468</v>
      </c>
      <c r="V49" s="807" t="s">
        <v>3469</v>
      </c>
      <c r="W49" s="807" t="s">
        <v>3470</v>
      </c>
      <c r="X49" s="807" t="s">
        <v>3471</v>
      </c>
      <c r="Y49" s="807" t="s">
        <v>3472</v>
      </c>
      <c r="Z49" s="807" t="s">
        <v>3473</v>
      </c>
      <c r="AA49" s="807" t="s">
        <v>3474</v>
      </c>
      <c r="AB49" s="807" t="s">
        <v>3475</v>
      </c>
      <c r="AC49" s="807" t="s">
        <v>3476</v>
      </c>
      <c r="AD49" s="807" t="s">
        <v>3477</v>
      </c>
      <c r="AE49" s="807" t="s">
        <v>3478</v>
      </c>
      <c r="AF49" s="807" t="s">
        <v>3479</v>
      </c>
      <c r="AG49" s="807" t="s">
        <v>3480</v>
      </c>
      <c r="AH49" s="807" t="s">
        <v>3481</v>
      </c>
      <c r="AI49" s="807" t="s">
        <v>3482</v>
      </c>
      <c r="AJ49" s="807" t="s">
        <v>3483</v>
      </c>
    </row>
    <row r="50" spans="1:36" ht="18.75" customHeight="1" x14ac:dyDescent="0.25">
      <c r="A50" s="117" t="s">
        <v>918</v>
      </c>
      <c r="B50" s="119" t="s">
        <v>65</v>
      </c>
      <c r="C50" s="119" t="s">
        <v>64</v>
      </c>
      <c r="D50" s="119" t="s">
        <v>3484</v>
      </c>
      <c r="E50" s="119" t="s">
        <v>2977</v>
      </c>
      <c r="F50" s="119" t="s">
        <v>3485</v>
      </c>
      <c r="G50" s="119" t="s">
        <v>3111</v>
      </c>
      <c r="H50" s="119" t="s">
        <v>3486</v>
      </c>
      <c r="I50" s="119">
        <v>1050</v>
      </c>
      <c r="J50" s="120" t="s">
        <v>3487</v>
      </c>
      <c r="K50" s="120" t="s">
        <v>35</v>
      </c>
      <c r="L50" s="119" t="s">
        <v>2980</v>
      </c>
      <c r="M50" s="119" t="s">
        <v>3488</v>
      </c>
      <c r="N50" s="119" t="s">
        <v>3489</v>
      </c>
      <c r="O50" s="119" t="s">
        <v>35</v>
      </c>
      <c r="P50" s="119" t="s">
        <v>3188</v>
      </c>
      <c r="Q50" s="119" t="s">
        <v>3287</v>
      </c>
      <c r="R50" s="119" t="s">
        <v>2985</v>
      </c>
      <c r="S50" s="119" t="s">
        <v>3024</v>
      </c>
      <c r="T50" s="119" t="s">
        <v>3490</v>
      </c>
      <c r="U50" s="119" t="s">
        <v>3491</v>
      </c>
      <c r="V50" s="119" t="s">
        <v>3492</v>
      </c>
      <c r="W50" s="119" t="s">
        <v>3493</v>
      </c>
      <c r="X50" s="119" t="s">
        <v>3494</v>
      </c>
      <c r="Y50" s="119" t="s">
        <v>3495</v>
      </c>
      <c r="Z50" s="119" t="s">
        <v>3496</v>
      </c>
      <c r="AA50" s="119" t="s">
        <v>3497</v>
      </c>
      <c r="AB50" s="119" t="s">
        <v>3498</v>
      </c>
      <c r="AC50" s="119" t="s">
        <v>3499</v>
      </c>
      <c r="AD50" s="119" t="s">
        <v>3500</v>
      </c>
      <c r="AE50" s="119" t="s">
        <v>3501</v>
      </c>
      <c r="AF50" s="119" t="s">
        <v>3502</v>
      </c>
      <c r="AG50" s="119" t="s">
        <v>3503</v>
      </c>
      <c r="AH50" s="119" t="s">
        <v>3504</v>
      </c>
      <c r="AI50" s="119" t="s">
        <v>3505</v>
      </c>
      <c r="AJ50" s="119" t="s">
        <v>3506</v>
      </c>
    </row>
    <row r="51" spans="1:36" ht="18.75" customHeight="1" x14ac:dyDescent="0.25">
      <c r="A51" s="117" t="s">
        <v>918</v>
      </c>
      <c r="B51" s="119" t="s">
        <v>65</v>
      </c>
      <c r="C51" s="119" t="s">
        <v>64</v>
      </c>
      <c r="D51" s="119" t="s">
        <v>3507</v>
      </c>
      <c r="E51" s="119" t="s">
        <v>2977</v>
      </c>
      <c r="F51" s="119" t="s">
        <v>3508</v>
      </c>
      <c r="G51" s="119" t="s">
        <v>3111</v>
      </c>
      <c r="H51" s="119" t="s">
        <v>3509</v>
      </c>
      <c r="I51" s="119">
        <v>1050</v>
      </c>
      <c r="J51" s="120" t="s">
        <v>3510</v>
      </c>
      <c r="K51" s="120" t="s">
        <v>35</v>
      </c>
      <c r="L51" s="119" t="s">
        <v>2980</v>
      </c>
      <c r="M51" s="119" t="s">
        <v>3488</v>
      </c>
      <c r="N51" s="119" t="s">
        <v>3489</v>
      </c>
      <c r="O51" s="119" t="s">
        <v>35</v>
      </c>
      <c r="P51" s="119" t="s">
        <v>3188</v>
      </c>
      <c r="Q51" s="119" t="s">
        <v>3287</v>
      </c>
      <c r="R51" s="119" t="s">
        <v>2985</v>
      </c>
      <c r="S51" s="119" t="s">
        <v>3024</v>
      </c>
      <c r="T51" s="119" t="s">
        <v>35</v>
      </c>
      <c r="U51" s="119" t="s">
        <v>35</v>
      </c>
      <c r="V51" s="119" t="s">
        <v>35</v>
      </c>
      <c r="W51" s="119" t="s">
        <v>35</v>
      </c>
      <c r="X51" s="119" t="s">
        <v>35</v>
      </c>
      <c r="Y51" s="119" t="s">
        <v>35</v>
      </c>
      <c r="Z51" s="119" t="s">
        <v>35</v>
      </c>
      <c r="AA51" s="119" t="s">
        <v>35</v>
      </c>
      <c r="AB51" s="119" t="s">
        <v>35</v>
      </c>
      <c r="AC51" s="119" t="s">
        <v>35</v>
      </c>
      <c r="AD51" s="119" t="s">
        <v>35</v>
      </c>
      <c r="AE51" s="119" t="s">
        <v>35</v>
      </c>
      <c r="AF51" s="119" t="s">
        <v>35</v>
      </c>
      <c r="AG51" s="119" t="s">
        <v>35</v>
      </c>
      <c r="AH51" s="119" t="s">
        <v>35</v>
      </c>
      <c r="AI51" s="119" t="s">
        <v>35</v>
      </c>
      <c r="AJ51" s="119" t="s">
        <v>35</v>
      </c>
    </row>
    <row r="52" spans="1:36" ht="18.75" customHeight="1" x14ac:dyDescent="0.25">
      <c r="A52" s="118" t="s">
        <v>919</v>
      </c>
      <c r="B52" s="807" t="s">
        <v>69</v>
      </c>
      <c r="C52" s="807" t="s">
        <v>68</v>
      </c>
      <c r="D52" s="807" t="s">
        <v>3511</v>
      </c>
      <c r="E52" s="807" t="s">
        <v>2977</v>
      </c>
      <c r="F52" s="807" t="s">
        <v>3512</v>
      </c>
      <c r="G52" s="807" t="s">
        <v>3513</v>
      </c>
      <c r="H52" s="807" t="s">
        <v>3514</v>
      </c>
      <c r="I52" s="807">
        <v>1023</v>
      </c>
      <c r="J52" s="124" t="s">
        <v>3515</v>
      </c>
      <c r="K52" s="124" t="s">
        <v>35</v>
      </c>
      <c r="L52" s="807" t="s">
        <v>2980</v>
      </c>
      <c r="M52" s="807" t="s">
        <v>3516</v>
      </c>
      <c r="N52" s="807" t="s">
        <v>3517</v>
      </c>
      <c r="O52" s="807" t="s">
        <v>35</v>
      </c>
      <c r="P52" s="807" t="s">
        <v>3518</v>
      </c>
      <c r="Q52" s="807" t="s">
        <v>3519</v>
      </c>
      <c r="R52" s="807" t="s">
        <v>7</v>
      </c>
      <c r="S52" s="807" t="s">
        <v>3024</v>
      </c>
      <c r="T52" s="807" t="s">
        <v>3520</v>
      </c>
      <c r="U52" s="807" t="s">
        <v>3521</v>
      </c>
      <c r="V52" s="807" t="s">
        <v>3522</v>
      </c>
      <c r="W52" s="807" t="s">
        <v>3523</v>
      </c>
      <c r="X52" s="807" t="s">
        <v>3524</v>
      </c>
      <c r="Y52" s="807" t="s">
        <v>3525</v>
      </c>
      <c r="Z52" s="807" t="s">
        <v>3526</v>
      </c>
      <c r="AA52" s="807" t="s">
        <v>3527</v>
      </c>
      <c r="AB52" s="807" t="s">
        <v>3528</v>
      </c>
      <c r="AC52" s="807" t="s">
        <v>3529</v>
      </c>
      <c r="AD52" s="807" t="s">
        <v>3530</v>
      </c>
      <c r="AE52" s="807" t="s">
        <v>3531</v>
      </c>
      <c r="AF52" s="807" t="s">
        <v>3532</v>
      </c>
      <c r="AG52" s="807" t="s">
        <v>3533</v>
      </c>
      <c r="AH52" s="807" t="s">
        <v>3534</v>
      </c>
      <c r="AI52" s="807" t="s">
        <v>3535</v>
      </c>
      <c r="AJ52" s="807" t="s">
        <v>3536</v>
      </c>
    </row>
    <row r="53" spans="1:36" ht="18.75" customHeight="1" x14ac:dyDescent="0.25">
      <c r="A53" s="118" t="s">
        <v>919</v>
      </c>
      <c r="B53" s="807" t="s">
        <v>69</v>
      </c>
      <c r="C53" s="807" t="s">
        <v>68</v>
      </c>
      <c r="D53" s="807" t="s">
        <v>3537</v>
      </c>
      <c r="E53" s="807" t="s">
        <v>2977</v>
      </c>
      <c r="F53" s="807" t="s">
        <v>3538</v>
      </c>
      <c r="G53" s="807" t="s">
        <v>3148</v>
      </c>
      <c r="H53" s="807" t="s">
        <v>3539</v>
      </c>
      <c r="I53" s="807">
        <v>669</v>
      </c>
      <c r="J53" s="124" t="s">
        <v>3540</v>
      </c>
      <c r="K53" s="124" t="s">
        <v>35</v>
      </c>
      <c r="L53" s="807" t="s">
        <v>2980</v>
      </c>
      <c r="M53" s="807" t="s">
        <v>3541</v>
      </c>
      <c r="N53" s="807" t="s">
        <v>3542</v>
      </c>
      <c r="O53" s="807" t="s">
        <v>35</v>
      </c>
      <c r="P53" s="807" t="s">
        <v>3543</v>
      </c>
      <c r="Q53" s="807" t="s">
        <v>3544</v>
      </c>
      <c r="R53" s="807" t="s">
        <v>7</v>
      </c>
      <c r="S53" s="807" t="s">
        <v>3024</v>
      </c>
      <c r="T53" s="807" t="s">
        <v>35</v>
      </c>
      <c r="U53" s="807" t="s">
        <v>35</v>
      </c>
      <c r="V53" s="807" t="s">
        <v>35</v>
      </c>
      <c r="W53" s="807" t="s">
        <v>35</v>
      </c>
      <c r="X53" s="807" t="s">
        <v>35</v>
      </c>
      <c r="Y53" s="807" t="s">
        <v>35</v>
      </c>
      <c r="Z53" s="807" t="s">
        <v>35</v>
      </c>
      <c r="AA53" s="807" t="s">
        <v>35</v>
      </c>
      <c r="AB53" s="807" t="s">
        <v>35</v>
      </c>
      <c r="AC53" s="807" t="s">
        <v>35</v>
      </c>
      <c r="AD53" s="807" t="s">
        <v>35</v>
      </c>
      <c r="AE53" s="807" t="s">
        <v>35</v>
      </c>
      <c r="AF53" s="807" t="s">
        <v>35</v>
      </c>
      <c r="AG53" s="807" t="s">
        <v>35</v>
      </c>
      <c r="AH53" s="807" t="s">
        <v>35</v>
      </c>
      <c r="AI53" s="807" t="s">
        <v>35</v>
      </c>
      <c r="AJ53" s="807" t="s">
        <v>35</v>
      </c>
    </row>
    <row r="54" spans="1:36" ht="18.75" customHeight="1" x14ac:dyDescent="0.25">
      <c r="A54" s="118" t="s">
        <v>919</v>
      </c>
      <c r="B54" s="807" t="s">
        <v>69</v>
      </c>
      <c r="C54" s="807" t="s">
        <v>68</v>
      </c>
      <c r="D54" s="807" t="s">
        <v>3545</v>
      </c>
      <c r="E54" s="807" t="s">
        <v>2977</v>
      </c>
      <c r="F54" s="807" t="s">
        <v>312</v>
      </c>
      <c r="G54" s="807" t="s">
        <v>312</v>
      </c>
      <c r="H54" s="807" t="s">
        <v>3546</v>
      </c>
      <c r="I54" s="807">
        <v>683</v>
      </c>
      <c r="J54" s="124" t="s">
        <v>3547</v>
      </c>
      <c r="K54" s="124" t="s">
        <v>35</v>
      </c>
      <c r="L54" s="807" t="s">
        <v>2980</v>
      </c>
      <c r="M54" s="807" t="s">
        <v>3548</v>
      </c>
      <c r="N54" s="807" t="s">
        <v>3549</v>
      </c>
      <c r="O54" s="807" t="s">
        <v>35</v>
      </c>
      <c r="P54" s="807" t="s">
        <v>3550</v>
      </c>
      <c r="Q54" s="807" t="s">
        <v>3551</v>
      </c>
      <c r="R54" s="807" t="s">
        <v>7</v>
      </c>
      <c r="S54" s="807" t="s">
        <v>3024</v>
      </c>
      <c r="T54" s="807" t="s">
        <v>35</v>
      </c>
      <c r="U54" s="807" t="s">
        <v>35</v>
      </c>
      <c r="V54" s="807" t="s">
        <v>35</v>
      </c>
      <c r="W54" s="807" t="s">
        <v>35</v>
      </c>
      <c r="X54" s="807" t="s">
        <v>35</v>
      </c>
      <c r="Y54" s="807" t="s">
        <v>35</v>
      </c>
      <c r="Z54" s="807" t="s">
        <v>35</v>
      </c>
      <c r="AA54" s="807" t="s">
        <v>35</v>
      </c>
      <c r="AB54" s="807" t="s">
        <v>35</v>
      </c>
      <c r="AC54" s="807" t="s">
        <v>35</v>
      </c>
      <c r="AD54" s="807" t="s">
        <v>35</v>
      </c>
      <c r="AE54" s="807" t="s">
        <v>35</v>
      </c>
      <c r="AF54" s="807" t="s">
        <v>35</v>
      </c>
      <c r="AG54" s="807" t="s">
        <v>35</v>
      </c>
      <c r="AH54" s="807" t="s">
        <v>35</v>
      </c>
      <c r="AI54" s="807" t="s">
        <v>35</v>
      </c>
      <c r="AJ54" s="807" t="s">
        <v>35</v>
      </c>
    </row>
    <row r="55" spans="1:36" ht="18.75" customHeight="1" x14ac:dyDescent="0.25">
      <c r="A55" s="118" t="s">
        <v>919</v>
      </c>
      <c r="B55" s="807" t="s">
        <v>69</v>
      </c>
      <c r="C55" s="807" t="s">
        <v>68</v>
      </c>
      <c r="D55" s="807" t="s">
        <v>3552</v>
      </c>
      <c r="E55" s="807" t="s">
        <v>3316</v>
      </c>
      <c r="F55" s="807" t="s">
        <v>312</v>
      </c>
      <c r="G55" s="807" t="s">
        <v>312</v>
      </c>
      <c r="H55" s="807" t="s">
        <v>3553</v>
      </c>
      <c r="I55" s="807">
        <v>186</v>
      </c>
      <c r="J55" s="124" t="s">
        <v>3554</v>
      </c>
      <c r="K55" s="124" t="s">
        <v>35</v>
      </c>
      <c r="L55" s="807" t="s">
        <v>3318</v>
      </c>
      <c r="M55" s="807" t="s">
        <v>3555</v>
      </c>
      <c r="N55" s="807" t="s">
        <v>35</v>
      </c>
      <c r="O55" s="807" t="s">
        <v>35</v>
      </c>
      <c r="P55" s="807" t="s">
        <v>35</v>
      </c>
      <c r="Q55" s="807" t="s">
        <v>35</v>
      </c>
      <c r="R55" s="807" t="s">
        <v>35</v>
      </c>
      <c r="S55" s="807" t="s">
        <v>35</v>
      </c>
      <c r="T55" s="807" t="s">
        <v>35</v>
      </c>
      <c r="U55" s="807" t="s">
        <v>35</v>
      </c>
      <c r="V55" s="807" t="s">
        <v>35</v>
      </c>
      <c r="W55" s="807" t="s">
        <v>35</v>
      </c>
      <c r="X55" s="807" t="s">
        <v>35</v>
      </c>
      <c r="Y55" s="807" t="s">
        <v>35</v>
      </c>
      <c r="Z55" s="807" t="s">
        <v>35</v>
      </c>
      <c r="AA55" s="807" t="s">
        <v>35</v>
      </c>
      <c r="AB55" s="807" t="s">
        <v>35</v>
      </c>
      <c r="AC55" s="807" t="s">
        <v>35</v>
      </c>
      <c r="AD55" s="807" t="s">
        <v>35</v>
      </c>
      <c r="AE55" s="807" t="s">
        <v>35</v>
      </c>
      <c r="AF55" s="807" t="s">
        <v>35</v>
      </c>
      <c r="AG55" s="807" t="s">
        <v>35</v>
      </c>
      <c r="AH55" s="807" t="s">
        <v>35</v>
      </c>
      <c r="AI55" s="807" t="s">
        <v>35</v>
      </c>
      <c r="AJ55" s="807" t="s">
        <v>35</v>
      </c>
    </row>
    <row r="56" spans="1:36" ht="18.75" customHeight="1" x14ac:dyDescent="0.25">
      <c r="A56" s="118" t="s">
        <v>919</v>
      </c>
      <c r="B56" s="807" t="s">
        <v>69</v>
      </c>
      <c r="C56" s="807" t="s">
        <v>68</v>
      </c>
      <c r="D56" s="807" t="s">
        <v>3556</v>
      </c>
      <c r="E56" s="807" t="s">
        <v>3316</v>
      </c>
      <c r="F56" s="807" t="s">
        <v>312</v>
      </c>
      <c r="G56" s="807" t="s">
        <v>312</v>
      </c>
      <c r="H56" s="807" t="s">
        <v>3557</v>
      </c>
      <c r="I56" s="807">
        <v>163</v>
      </c>
      <c r="J56" s="124" t="s">
        <v>35</v>
      </c>
      <c r="K56" s="124" t="s">
        <v>35</v>
      </c>
      <c r="L56" s="807" t="s">
        <v>3558</v>
      </c>
      <c r="M56" s="807" t="s">
        <v>35</v>
      </c>
      <c r="N56" s="807" t="s">
        <v>35</v>
      </c>
      <c r="O56" s="807">
        <v>1244</v>
      </c>
      <c r="P56" s="807" t="s">
        <v>35</v>
      </c>
      <c r="Q56" s="807" t="s">
        <v>35</v>
      </c>
      <c r="R56" s="807" t="s">
        <v>35</v>
      </c>
      <c r="S56" s="807" t="s">
        <v>35</v>
      </c>
      <c r="T56" s="807" t="s">
        <v>35</v>
      </c>
      <c r="U56" s="807" t="s">
        <v>35</v>
      </c>
      <c r="V56" s="807" t="s">
        <v>35</v>
      </c>
      <c r="W56" s="807" t="s">
        <v>35</v>
      </c>
      <c r="X56" s="807" t="s">
        <v>35</v>
      </c>
      <c r="Y56" s="807" t="s">
        <v>35</v>
      </c>
      <c r="Z56" s="807" t="s">
        <v>35</v>
      </c>
      <c r="AA56" s="807" t="s">
        <v>35</v>
      </c>
      <c r="AB56" s="807" t="s">
        <v>35</v>
      </c>
      <c r="AC56" s="807" t="s">
        <v>35</v>
      </c>
      <c r="AD56" s="807" t="s">
        <v>35</v>
      </c>
      <c r="AE56" s="807" t="s">
        <v>35</v>
      </c>
      <c r="AF56" s="807" t="s">
        <v>35</v>
      </c>
      <c r="AG56" s="807" t="s">
        <v>35</v>
      </c>
      <c r="AH56" s="807" t="s">
        <v>35</v>
      </c>
      <c r="AI56" s="807" t="s">
        <v>35</v>
      </c>
      <c r="AJ56" s="807" t="s">
        <v>35</v>
      </c>
    </row>
    <row r="57" spans="1:36" ht="18.75" customHeight="1" x14ac:dyDescent="0.25">
      <c r="A57" s="118" t="s">
        <v>919</v>
      </c>
      <c r="B57" s="807" t="s">
        <v>69</v>
      </c>
      <c r="C57" s="807" t="s">
        <v>68</v>
      </c>
      <c r="D57" s="807" t="s">
        <v>3559</v>
      </c>
      <c r="E57" s="807" t="s">
        <v>2977</v>
      </c>
      <c r="F57" s="807" t="s">
        <v>312</v>
      </c>
      <c r="G57" s="807" t="s">
        <v>312</v>
      </c>
      <c r="H57" s="807" t="s">
        <v>3560</v>
      </c>
      <c r="I57" s="807">
        <v>697</v>
      </c>
      <c r="J57" s="124" t="s">
        <v>3561</v>
      </c>
      <c r="K57" s="124" t="s">
        <v>35</v>
      </c>
      <c r="L57" s="807" t="s">
        <v>2980</v>
      </c>
      <c r="M57" s="807" t="s">
        <v>3541</v>
      </c>
      <c r="N57" s="807" t="s">
        <v>3542</v>
      </c>
      <c r="O57" s="807" t="s">
        <v>35</v>
      </c>
      <c r="P57" s="807" t="s">
        <v>3550</v>
      </c>
      <c r="Q57" s="807" t="s">
        <v>3551</v>
      </c>
      <c r="R57" s="807" t="s">
        <v>7</v>
      </c>
      <c r="S57" s="807" t="s">
        <v>3024</v>
      </c>
      <c r="T57" s="807" t="s">
        <v>35</v>
      </c>
      <c r="U57" s="807" t="s">
        <v>35</v>
      </c>
      <c r="V57" s="807" t="s">
        <v>35</v>
      </c>
      <c r="W57" s="807" t="s">
        <v>35</v>
      </c>
      <c r="X57" s="807" t="s">
        <v>35</v>
      </c>
      <c r="Y57" s="807" t="s">
        <v>35</v>
      </c>
      <c r="Z57" s="807" t="s">
        <v>35</v>
      </c>
      <c r="AA57" s="807" t="s">
        <v>35</v>
      </c>
      <c r="AB57" s="807" t="s">
        <v>35</v>
      </c>
      <c r="AC57" s="807" t="s">
        <v>35</v>
      </c>
      <c r="AD57" s="807" t="s">
        <v>35</v>
      </c>
      <c r="AE57" s="807" t="s">
        <v>35</v>
      </c>
      <c r="AF57" s="807" t="s">
        <v>35</v>
      </c>
      <c r="AG57" s="807" t="s">
        <v>35</v>
      </c>
      <c r="AH57" s="807" t="s">
        <v>35</v>
      </c>
      <c r="AI57" s="807" t="s">
        <v>35</v>
      </c>
      <c r="AJ57" s="807" t="s">
        <v>35</v>
      </c>
    </row>
    <row r="58" spans="1:36" ht="18.75" customHeight="1" x14ac:dyDescent="0.25">
      <c r="A58" s="118" t="s">
        <v>919</v>
      </c>
      <c r="B58" s="807" t="s">
        <v>69</v>
      </c>
      <c r="C58" s="807" t="s">
        <v>68</v>
      </c>
      <c r="D58" s="807" t="s">
        <v>3562</v>
      </c>
      <c r="E58" s="807" t="s">
        <v>2977</v>
      </c>
      <c r="F58" s="807" t="s">
        <v>312</v>
      </c>
      <c r="G58" s="807" t="s">
        <v>312</v>
      </c>
      <c r="H58" s="807" t="s">
        <v>3563</v>
      </c>
      <c r="I58" s="807">
        <v>609</v>
      </c>
      <c r="J58" s="124" t="s">
        <v>3561</v>
      </c>
      <c r="K58" s="124" t="s">
        <v>35</v>
      </c>
      <c r="L58" s="807" t="s">
        <v>2980</v>
      </c>
      <c r="M58" s="807" t="s">
        <v>3564</v>
      </c>
      <c r="N58" s="807" t="s">
        <v>3565</v>
      </c>
      <c r="O58" s="807" t="s">
        <v>35</v>
      </c>
      <c r="P58" s="807" t="s">
        <v>3566</v>
      </c>
      <c r="Q58" s="807" t="s">
        <v>3567</v>
      </c>
      <c r="R58" s="807" t="s">
        <v>7</v>
      </c>
      <c r="S58" s="807" t="s">
        <v>3024</v>
      </c>
      <c r="T58" s="807" t="s">
        <v>35</v>
      </c>
      <c r="U58" s="807" t="s">
        <v>35</v>
      </c>
      <c r="V58" s="807" t="s">
        <v>35</v>
      </c>
      <c r="W58" s="807" t="s">
        <v>35</v>
      </c>
      <c r="X58" s="807" t="s">
        <v>35</v>
      </c>
      <c r="Y58" s="807" t="s">
        <v>35</v>
      </c>
      <c r="Z58" s="807" t="s">
        <v>35</v>
      </c>
      <c r="AA58" s="807" t="s">
        <v>35</v>
      </c>
      <c r="AB58" s="807" t="s">
        <v>35</v>
      </c>
      <c r="AC58" s="807" t="s">
        <v>35</v>
      </c>
      <c r="AD58" s="807" t="s">
        <v>35</v>
      </c>
      <c r="AE58" s="807" t="s">
        <v>35</v>
      </c>
      <c r="AF58" s="807" t="s">
        <v>35</v>
      </c>
      <c r="AG58" s="807" t="s">
        <v>35</v>
      </c>
      <c r="AH58" s="807" t="s">
        <v>35</v>
      </c>
      <c r="AI58" s="807" t="s">
        <v>35</v>
      </c>
      <c r="AJ58" s="807" t="s">
        <v>35</v>
      </c>
    </row>
    <row r="59" spans="1:36" ht="18.75" customHeight="1" x14ac:dyDescent="0.25">
      <c r="A59" s="118" t="s">
        <v>919</v>
      </c>
      <c r="B59" s="807" t="s">
        <v>69</v>
      </c>
      <c r="C59" s="807" t="s">
        <v>68</v>
      </c>
      <c r="D59" s="807" t="s">
        <v>3568</v>
      </c>
      <c r="E59" s="807" t="s">
        <v>2977</v>
      </c>
      <c r="F59" s="807" t="s">
        <v>312</v>
      </c>
      <c r="G59" s="807" t="s">
        <v>312</v>
      </c>
      <c r="H59" s="807" t="s">
        <v>3569</v>
      </c>
      <c r="I59" s="807">
        <v>669</v>
      </c>
      <c r="J59" s="124" t="s">
        <v>3570</v>
      </c>
      <c r="K59" s="124" t="s">
        <v>35</v>
      </c>
      <c r="L59" s="807" t="s">
        <v>2980</v>
      </c>
      <c r="M59" s="807" t="s">
        <v>3571</v>
      </c>
      <c r="N59" s="807" t="s">
        <v>3572</v>
      </c>
      <c r="O59" s="807" t="s">
        <v>35</v>
      </c>
      <c r="P59" s="807" t="s">
        <v>3153</v>
      </c>
      <c r="Q59" s="807" t="s">
        <v>3573</v>
      </c>
      <c r="R59" s="807" t="s">
        <v>7</v>
      </c>
      <c r="S59" s="807" t="s">
        <v>3024</v>
      </c>
      <c r="T59" s="807" t="s">
        <v>35</v>
      </c>
      <c r="U59" s="807" t="s">
        <v>35</v>
      </c>
      <c r="V59" s="807" t="s">
        <v>35</v>
      </c>
      <c r="W59" s="807" t="s">
        <v>35</v>
      </c>
      <c r="X59" s="807" t="s">
        <v>35</v>
      </c>
      <c r="Y59" s="807" t="s">
        <v>35</v>
      </c>
      <c r="Z59" s="807" t="s">
        <v>35</v>
      </c>
      <c r="AA59" s="807" t="s">
        <v>35</v>
      </c>
      <c r="AB59" s="807" t="s">
        <v>35</v>
      </c>
      <c r="AC59" s="807" t="s">
        <v>35</v>
      </c>
      <c r="AD59" s="807" t="s">
        <v>35</v>
      </c>
      <c r="AE59" s="807" t="s">
        <v>35</v>
      </c>
      <c r="AF59" s="807" t="s">
        <v>35</v>
      </c>
      <c r="AG59" s="807" t="s">
        <v>35</v>
      </c>
      <c r="AH59" s="807" t="s">
        <v>35</v>
      </c>
      <c r="AI59" s="807" t="s">
        <v>35</v>
      </c>
      <c r="AJ59" s="807" t="s">
        <v>35</v>
      </c>
    </row>
    <row r="60" spans="1:36" ht="18.75" customHeight="1" x14ac:dyDescent="0.25">
      <c r="A60" s="117" t="s">
        <v>73</v>
      </c>
      <c r="B60" s="119" t="s">
        <v>72</v>
      </c>
      <c r="C60" s="119" t="s">
        <v>71</v>
      </c>
      <c r="D60" s="119" t="s">
        <v>3574</v>
      </c>
      <c r="E60" s="119" t="s">
        <v>2977</v>
      </c>
      <c r="F60" s="119">
        <v>0</v>
      </c>
      <c r="G60" s="119" t="s">
        <v>35</v>
      </c>
      <c r="H60" s="119" t="s">
        <v>3575</v>
      </c>
      <c r="I60" s="119">
        <v>833</v>
      </c>
      <c r="J60" s="120" t="s">
        <v>3576</v>
      </c>
      <c r="K60" s="120" t="s">
        <v>35</v>
      </c>
      <c r="L60" s="119" t="s">
        <v>2980</v>
      </c>
      <c r="M60" s="119" t="s">
        <v>3577</v>
      </c>
      <c r="N60" s="119" t="s">
        <v>3578</v>
      </c>
      <c r="O60" s="119" t="s">
        <v>35</v>
      </c>
      <c r="P60" s="119" t="s">
        <v>3518</v>
      </c>
      <c r="Q60" s="119" t="s">
        <v>3579</v>
      </c>
      <c r="R60" s="119" t="s">
        <v>7</v>
      </c>
      <c r="S60" s="119" t="s">
        <v>3024</v>
      </c>
      <c r="T60" s="119" t="s">
        <v>3580</v>
      </c>
      <c r="U60" s="119" t="s">
        <v>3581</v>
      </c>
      <c r="V60" s="119" t="s">
        <v>3582</v>
      </c>
      <c r="W60" s="119" t="s">
        <v>3583</v>
      </c>
      <c r="X60" s="119" t="s">
        <v>3584</v>
      </c>
      <c r="Y60" s="119" t="s">
        <v>3585</v>
      </c>
      <c r="Z60" s="119" t="s">
        <v>3581</v>
      </c>
      <c r="AA60" s="119" t="s">
        <v>3586</v>
      </c>
      <c r="AB60" s="119" t="s">
        <v>3587</v>
      </c>
      <c r="AC60" s="119" t="s">
        <v>3588</v>
      </c>
      <c r="AD60" s="119" t="s">
        <v>3589</v>
      </c>
      <c r="AE60" s="119" t="s">
        <v>3590</v>
      </c>
      <c r="AF60" s="119" t="s">
        <v>3591</v>
      </c>
      <c r="AG60" s="119" t="s">
        <v>3592</v>
      </c>
      <c r="AH60" s="119" t="s">
        <v>3593</v>
      </c>
      <c r="AI60" s="119" t="s">
        <v>3594</v>
      </c>
      <c r="AJ60" s="119" t="s">
        <v>3595</v>
      </c>
    </row>
    <row r="61" spans="1:36" ht="18.75" customHeight="1" x14ac:dyDescent="0.25">
      <c r="A61" s="117" t="s">
        <v>73</v>
      </c>
      <c r="B61" s="119" t="s">
        <v>72</v>
      </c>
      <c r="C61" s="119" t="s">
        <v>71</v>
      </c>
      <c r="D61" s="119" t="s">
        <v>3596</v>
      </c>
      <c r="E61" s="119" t="s">
        <v>2977</v>
      </c>
      <c r="F61" s="119" t="s">
        <v>3597</v>
      </c>
      <c r="G61" s="119" t="s">
        <v>3272</v>
      </c>
      <c r="H61" s="119" t="s">
        <v>3598</v>
      </c>
      <c r="I61" s="119">
        <v>875</v>
      </c>
      <c r="J61" s="120" t="s">
        <v>3576</v>
      </c>
      <c r="K61" s="120" t="s">
        <v>35</v>
      </c>
      <c r="L61" s="119" t="s">
        <v>2980</v>
      </c>
      <c r="M61" s="119" t="s">
        <v>3599</v>
      </c>
      <c r="N61" s="119" t="s">
        <v>3600</v>
      </c>
      <c r="O61" s="119" t="s">
        <v>35</v>
      </c>
      <c r="P61" s="119" t="s">
        <v>3462</v>
      </c>
      <c r="Q61" s="119" t="s">
        <v>3389</v>
      </c>
      <c r="R61" s="119" t="s">
        <v>7</v>
      </c>
      <c r="S61" s="119" t="s">
        <v>3024</v>
      </c>
      <c r="T61" s="119" t="s">
        <v>35</v>
      </c>
      <c r="U61" s="119" t="s">
        <v>35</v>
      </c>
      <c r="V61" s="119" t="s">
        <v>35</v>
      </c>
      <c r="W61" s="119" t="s">
        <v>35</v>
      </c>
      <c r="X61" s="119" t="s">
        <v>35</v>
      </c>
      <c r="Y61" s="119" t="s">
        <v>35</v>
      </c>
      <c r="Z61" s="119" t="s">
        <v>35</v>
      </c>
      <c r="AA61" s="119" t="s">
        <v>35</v>
      </c>
      <c r="AB61" s="119" t="s">
        <v>35</v>
      </c>
      <c r="AC61" s="119" t="s">
        <v>35</v>
      </c>
      <c r="AD61" s="119" t="s">
        <v>35</v>
      </c>
      <c r="AE61" s="119" t="s">
        <v>35</v>
      </c>
      <c r="AF61" s="119" t="s">
        <v>35</v>
      </c>
      <c r="AG61" s="119" t="s">
        <v>35</v>
      </c>
      <c r="AH61" s="119" t="s">
        <v>35</v>
      </c>
      <c r="AI61" s="119" t="s">
        <v>35</v>
      </c>
      <c r="AJ61" s="119" t="s">
        <v>35</v>
      </c>
    </row>
    <row r="62" spans="1:36" ht="18.75" customHeight="1" x14ac:dyDescent="0.25">
      <c r="A62" s="117" t="s">
        <v>73</v>
      </c>
      <c r="B62" s="119" t="s">
        <v>72</v>
      </c>
      <c r="C62" s="119" t="s">
        <v>71</v>
      </c>
      <c r="D62" s="119" t="s">
        <v>3601</v>
      </c>
      <c r="E62" s="119" t="s">
        <v>2977</v>
      </c>
      <c r="F62" s="119" t="s">
        <v>3602</v>
      </c>
      <c r="G62" s="119" t="s">
        <v>3272</v>
      </c>
      <c r="H62" s="119" t="s">
        <v>3603</v>
      </c>
      <c r="I62" s="119">
        <v>823</v>
      </c>
      <c r="J62" s="120" t="s">
        <v>3576</v>
      </c>
      <c r="K62" s="120" t="s">
        <v>35</v>
      </c>
      <c r="L62" s="119" t="s">
        <v>2980</v>
      </c>
      <c r="M62" s="119" t="s">
        <v>3604</v>
      </c>
      <c r="N62" s="119" t="s">
        <v>3605</v>
      </c>
      <c r="O62" s="119" t="s">
        <v>35</v>
      </c>
      <c r="P62" s="119" t="s">
        <v>3606</v>
      </c>
      <c r="Q62" s="119" t="s">
        <v>3389</v>
      </c>
      <c r="R62" s="119" t="s">
        <v>7</v>
      </c>
      <c r="S62" s="119" t="s">
        <v>3024</v>
      </c>
      <c r="T62" s="119" t="s">
        <v>35</v>
      </c>
      <c r="U62" s="119" t="s">
        <v>35</v>
      </c>
      <c r="V62" s="119" t="s">
        <v>35</v>
      </c>
      <c r="W62" s="119" t="s">
        <v>35</v>
      </c>
      <c r="X62" s="119" t="s">
        <v>35</v>
      </c>
      <c r="Y62" s="119" t="s">
        <v>35</v>
      </c>
      <c r="Z62" s="119" t="s">
        <v>35</v>
      </c>
      <c r="AA62" s="119" t="s">
        <v>35</v>
      </c>
      <c r="AB62" s="119" t="s">
        <v>35</v>
      </c>
      <c r="AC62" s="119" t="s">
        <v>35</v>
      </c>
      <c r="AD62" s="119" t="s">
        <v>35</v>
      </c>
      <c r="AE62" s="119" t="s">
        <v>35</v>
      </c>
      <c r="AF62" s="119" t="s">
        <v>35</v>
      </c>
      <c r="AG62" s="119" t="s">
        <v>35</v>
      </c>
      <c r="AH62" s="119" t="s">
        <v>35</v>
      </c>
      <c r="AI62" s="119" t="s">
        <v>35</v>
      </c>
      <c r="AJ62" s="119" t="s">
        <v>35</v>
      </c>
    </row>
    <row r="63" spans="1:36" ht="18.75" customHeight="1" x14ac:dyDescent="0.25">
      <c r="A63" s="117" t="s">
        <v>73</v>
      </c>
      <c r="B63" s="119" t="s">
        <v>72</v>
      </c>
      <c r="C63" s="119" t="s">
        <v>71</v>
      </c>
      <c r="D63" s="119" t="s">
        <v>3607</v>
      </c>
      <c r="E63" s="119" t="s">
        <v>2977</v>
      </c>
      <c r="F63" s="119">
        <v>0</v>
      </c>
      <c r="G63" s="119" t="s">
        <v>35</v>
      </c>
      <c r="H63" s="119" t="s">
        <v>3608</v>
      </c>
      <c r="I63" s="119">
        <v>224</v>
      </c>
      <c r="J63" s="120" t="s">
        <v>3086</v>
      </c>
      <c r="K63" s="120" t="s">
        <v>35</v>
      </c>
      <c r="L63" s="119" t="s">
        <v>2980</v>
      </c>
      <c r="M63" s="119" t="s">
        <v>3604</v>
      </c>
      <c r="N63" s="119" t="s">
        <v>3605</v>
      </c>
      <c r="O63" s="119" t="s">
        <v>35</v>
      </c>
      <c r="P63" s="119" t="s">
        <v>3262</v>
      </c>
      <c r="Q63" s="119" t="s">
        <v>3389</v>
      </c>
      <c r="R63" s="119" t="s">
        <v>7</v>
      </c>
      <c r="S63" s="119" t="s">
        <v>3024</v>
      </c>
      <c r="T63" s="119" t="s">
        <v>35</v>
      </c>
      <c r="U63" s="119" t="s">
        <v>35</v>
      </c>
      <c r="V63" s="119" t="s">
        <v>35</v>
      </c>
      <c r="W63" s="119" t="s">
        <v>35</v>
      </c>
      <c r="X63" s="119" t="s">
        <v>35</v>
      </c>
      <c r="Y63" s="119" t="s">
        <v>35</v>
      </c>
      <c r="Z63" s="119" t="s">
        <v>35</v>
      </c>
      <c r="AA63" s="119" t="s">
        <v>35</v>
      </c>
      <c r="AB63" s="119" t="s">
        <v>35</v>
      </c>
      <c r="AC63" s="119" t="s">
        <v>35</v>
      </c>
      <c r="AD63" s="119" t="s">
        <v>35</v>
      </c>
      <c r="AE63" s="119" t="s">
        <v>35</v>
      </c>
      <c r="AF63" s="119" t="s">
        <v>35</v>
      </c>
      <c r="AG63" s="119" t="s">
        <v>35</v>
      </c>
      <c r="AH63" s="119" t="s">
        <v>35</v>
      </c>
      <c r="AI63" s="119" t="s">
        <v>35</v>
      </c>
      <c r="AJ63" s="119" t="s">
        <v>35</v>
      </c>
    </row>
    <row r="64" spans="1:36" ht="18.75" customHeight="1" x14ac:dyDescent="0.25">
      <c r="A64" s="118" t="s">
        <v>77</v>
      </c>
      <c r="B64" s="807" t="s">
        <v>76</v>
      </c>
      <c r="C64" s="807" t="s">
        <v>75</v>
      </c>
      <c r="D64" s="807" t="s">
        <v>3609</v>
      </c>
      <c r="E64" s="807" t="s">
        <v>2977</v>
      </c>
      <c r="F64" s="807" t="s">
        <v>3610</v>
      </c>
      <c r="G64" s="807" t="s">
        <v>3235</v>
      </c>
      <c r="H64" s="807" t="s">
        <v>3611</v>
      </c>
      <c r="I64" s="807">
        <v>802</v>
      </c>
      <c r="J64" s="124" t="s">
        <v>3612</v>
      </c>
      <c r="K64" s="124" t="s">
        <v>35</v>
      </c>
      <c r="L64" s="807" t="s">
        <v>2980</v>
      </c>
      <c r="M64" s="807" t="s">
        <v>3613</v>
      </c>
      <c r="N64" s="807" t="s">
        <v>3614</v>
      </c>
      <c r="O64" s="807" t="s">
        <v>35</v>
      </c>
      <c r="P64" s="807" t="s">
        <v>3615</v>
      </c>
      <c r="Q64" s="807" t="s">
        <v>3359</v>
      </c>
      <c r="R64" s="807" t="s">
        <v>35</v>
      </c>
      <c r="S64" s="807" t="s">
        <v>3024</v>
      </c>
      <c r="T64" s="807" t="s">
        <v>3616</v>
      </c>
      <c r="U64" s="807" t="s">
        <v>3617</v>
      </c>
      <c r="V64" s="807" t="s">
        <v>3618</v>
      </c>
      <c r="W64" s="807" t="s">
        <v>3619</v>
      </c>
      <c r="X64" s="807" t="s">
        <v>3620</v>
      </c>
      <c r="Y64" s="807" t="s">
        <v>3621</v>
      </c>
      <c r="Z64" s="807" t="s">
        <v>3622</v>
      </c>
      <c r="AA64" s="807" t="s">
        <v>3623</v>
      </c>
      <c r="AB64" s="807" t="s">
        <v>3624</v>
      </c>
      <c r="AC64" s="807" t="s">
        <v>3625</v>
      </c>
      <c r="AD64" s="807" t="s">
        <v>3626</v>
      </c>
      <c r="AE64" s="807" t="s">
        <v>3627</v>
      </c>
      <c r="AF64" s="807" t="s">
        <v>3628</v>
      </c>
      <c r="AG64" s="807" t="s">
        <v>3629</v>
      </c>
      <c r="AH64" s="807" t="s">
        <v>3630</v>
      </c>
      <c r="AI64" s="807" t="s">
        <v>3631</v>
      </c>
      <c r="AJ64" s="807" t="s">
        <v>3632</v>
      </c>
    </row>
    <row r="65" spans="1:36" ht="18.75" customHeight="1" x14ac:dyDescent="0.25">
      <c r="A65" s="118" t="s">
        <v>77</v>
      </c>
      <c r="B65" s="807" t="s">
        <v>76</v>
      </c>
      <c r="C65" s="807" t="s">
        <v>75</v>
      </c>
      <c r="D65" s="807" t="s">
        <v>3633</v>
      </c>
      <c r="E65" s="807" t="s">
        <v>2977</v>
      </c>
      <c r="F65" s="807" t="s">
        <v>312</v>
      </c>
      <c r="G65" s="807" t="s">
        <v>312</v>
      </c>
      <c r="H65" s="807" t="s">
        <v>3634</v>
      </c>
      <c r="I65" s="807">
        <v>762</v>
      </c>
      <c r="J65" s="124" t="s">
        <v>3635</v>
      </c>
      <c r="K65" s="124" t="s">
        <v>35</v>
      </c>
      <c r="L65" s="807" t="s">
        <v>2980</v>
      </c>
      <c r="M65" s="807" t="s">
        <v>3613</v>
      </c>
      <c r="N65" s="807" t="s">
        <v>3614</v>
      </c>
      <c r="O65" s="807" t="s">
        <v>35</v>
      </c>
      <c r="P65" s="807" t="s">
        <v>3636</v>
      </c>
      <c r="Q65" s="807" t="s">
        <v>3359</v>
      </c>
      <c r="R65" s="807" t="s">
        <v>35</v>
      </c>
      <c r="S65" s="807" t="s">
        <v>3024</v>
      </c>
      <c r="T65" s="807" t="s">
        <v>35</v>
      </c>
      <c r="U65" s="807" t="s">
        <v>35</v>
      </c>
      <c r="V65" s="807" t="s">
        <v>35</v>
      </c>
      <c r="W65" s="807" t="s">
        <v>35</v>
      </c>
      <c r="X65" s="807" t="s">
        <v>35</v>
      </c>
      <c r="Y65" s="807" t="s">
        <v>35</v>
      </c>
      <c r="Z65" s="807" t="s">
        <v>35</v>
      </c>
      <c r="AA65" s="807" t="s">
        <v>35</v>
      </c>
      <c r="AB65" s="807" t="s">
        <v>35</v>
      </c>
      <c r="AC65" s="807" t="s">
        <v>35</v>
      </c>
      <c r="AD65" s="807" t="s">
        <v>35</v>
      </c>
      <c r="AE65" s="807" t="s">
        <v>35</v>
      </c>
      <c r="AF65" s="807" t="s">
        <v>35</v>
      </c>
      <c r="AG65" s="807" t="s">
        <v>35</v>
      </c>
      <c r="AH65" s="807" t="s">
        <v>35</v>
      </c>
      <c r="AI65" s="807" t="s">
        <v>35</v>
      </c>
      <c r="AJ65" s="807" t="s">
        <v>35</v>
      </c>
    </row>
    <row r="66" spans="1:36" ht="18.75" customHeight="1" x14ac:dyDescent="0.25">
      <c r="A66" s="118" t="s">
        <v>77</v>
      </c>
      <c r="B66" s="807" t="s">
        <v>76</v>
      </c>
      <c r="C66" s="807" t="s">
        <v>75</v>
      </c>
      <c r="D66" s="807" t="s">
        <v>3637</v>
      </c>
      <c r="E66" s="807" t="s">
        <v>2977</v>
      </c>
      <c r="F66" s="807" t="s">
        <v>3638</v>
      </c>
      <c r="G66" s="807" t="s">
        <v>3235</v>
      </c>
      <c r="H66" s="807" t="s">
        <v>3639</v>
      </c>
      <c r="I66" s="807">
        <v>734</v>
      </c>
      <c r="J66" s="124" t="s">
        <v>3612</v>
      </c>
      <c r="K66" s="124" t="s">
        <v>35</v>
      </c>
      <c r="L66" s="807" t="s">
        <v>2980</v>
      </c>
      <c r="M66" s="807" t="s">
        <v>3613</v>
      </c>
      <c r="N66" s="807" t="s">
        <v>3614</v>
      </c>
      <c r="O66" s="807" t="s">
        <v>35</v>
      </c>
      <c r="P66" s="807" t="s">
        <v>3640</v>
      </c>
      <c r="Q66" s="807" t="s">
        <v>3359</v>
      </c>
      <c r="R66" s="807" t="s">
        <v>35</v>
      </c>
      <c r="S66" s="807" t="s">
        <v>3024</v>
      </c>
      <c r="T66" s="807" t="s">
        <v>35</v>
      </c>
      <c r="U66" s="807" t="s">
        <v>35</v>
      </c>
      <c r="V66" s="807" t="s">
        <v>35</v>
      </c>
      <c r="W66" s="807" t="s">
        <v>35</v>
      </c>
      <c r="X66" s="807" t="s">
        <v>35</v>
      </c>
      <c r="Y66" s="807" t="s">
        <v>35</v>
      </c>
      <c r="Z66" s="807" t="s">
        <v>35</v>
      </c>
      <c r="AA66" s="807" t="s">
        <v>35</v>
      </c>
      <c r="AB66" s="807" t="s">
        <v>35</v>
      </c>
      <c r="AC66" s="807" t="s">
        <v>35</v>
      </c>
      <c r="AD66" s="807" t="s">
        <v>35</v>
      </c>
      <c r="AE66" s="807" t="s">
        <v>35</v>
      </c>
      <c r="AF66" s="807" t="s">
        <v>35</v>
      </c>
      <c r="AG66" s="807" t="s">
        <v>35</v>
      </c>
      <c r="AH66" s="807" t="s">
        <v>35</v>
      </c>
      <c r="AI66" s="807" t="s">
        <v>35</v>
      </c>
      <c r="AJ66" s="807" t="s">
        <v>35</v>
      </c>
    </row>
    <row r="67" spans="1:36" ht="18.75" customHeight="1" x14ac:dyDescent="0.25">
      <c r="A67" s="118" t="s">
        <v>77</v>
      </c>
      <c r="B67" s="807" t="s">
        <v>76</v>
      </c>
      <c r="C67" s="807" t="s">
        <v>75</v>
      </c>
      <c r="D67" s="807" t="s">
        <v>3641</v>
      </c>
      <c r="E67" s="807" t="s">
        <v>3316</v>
      </c>
      <c r="F67" s="807" t="s">
        <v>312</v>
      </c>
      <c r="G67" s="807" t="s">
        <v>312</v>
      </c>
      <c r="H67" s="807" t="s">
        <v>3642</v>
      </c>
      <c r="I67" s="807">
        <v>72</v>
      </c>
      <c r="J67" s="124" t="s">
        <v>3643</v>
      </c>
      <c r="K67" s="124" t="s">
        <v>35</v>
      </c>
      <c r="L67" s="807" t="s">
        <v>3459</v>
      </c>
      <c r="M67" s="807" t="s">
        <v>3613</v>
      </c>
      <c r="N67" s="807" t="s">
        <v>3614</v>
      </c>
      <c r="O67" s="807" t="s">
        <v>35</v>
      </c>
      <c r="P67" s="807" t="s">
        <v>35</v>
      </c>
      <c r="Q67" s="807" t="s">
        <v>3359</v>
      </c>
      <c r="R67" s="807" t="s">
        <v>35</v>
      </c>
      <c r="S67" s="807" t="s">
        <v>3024</v>
      </c>
      <c r="T67" s="807" t="s">
        <v>35</v>
      </c>
      <c r="U67" s="807" t="s">
        <v>35</v>
      </c>
      <c r="V67" s="807" t="s">
        <v>35</v>
      </c>
      <c r="W67" s="807" t="s">
        <v>35</v>
      </c>
      <c r="X67" s="807" t="s">
        <v>35</v>
      </c>
      <c r="Y67" s="807" t="s">
        <v>35</v>
      </c>
      <c r="Z67" s="807" t="s">
        <v>35</v>
      </c>
      <c r="AA67" s="807" t="s">
        <v>35</v>
      </c>
      <c r="AB67" s="807" t="s">
        <v>35</v>
      </c>
      <c r="AC67" s="807" t="s">
        <v>35</v>
      </c>
      <c r="AD67" s="807" t="s">
        <v>35</v>
      </c>
      <c r="AE67" s="807" t="s">
        <v>35</v>
      </c>
      <c r="AF67" s="807" t="s">
        <v>35</v>
      </c>
      <c r="AG67" s="807" t="s">
        <v>35</v>
      </c>
      <c r="AH67" s="807" t="s">
        <v>35</v>
      </c>
      <c r="AI67" s="807" t="s">
        <v>35</v>
      </c>
      <c r="AJ67" s="807" t="s">
        <v>35</v>
      </c>
    </row>
    <row r="68" spans="1:36" ht="18.75" customHeight="1" x14ac:dyDescent="0.25">
      <c r="A68" s="118" t="s">
        <v>77</v>
      </c>
      <c r="B68" s="807" t="s">
        <v>76</v>
      </c>
      <c r="C68" s="807" t="s">
        <v>75</v>
      </c>
      <c r="D68" s="807" t="s">
        <v>3644</v>
      </c>
      <c r="E68" s="807" t="s">
        <v>2977</v>
      </c>
      <c r="F68" s="807" t="s">
        <v>312</v>
      </c>
      <c r="G68" s="807" t="s">
        <v>312</v>
      </c>
      <c r="H68" s="807" t="s">
        <v>3645</v>
      </c>
      <c r="I68" s="807">
        <v>802</v>
      </c>
      <c r="J68" s="124" t="s">
        <v>3612</v>
      </c>
      <c r="K68" s="124" t="s">
        <v>35</v>
      </c>
      <c r="L68" s="807" t="s">
        <v>2980</v>
      </c>
      <c r="M68" s="807" t="s">
        <v>3613</v>
      </c>
      <c r="N68" s="807" t="s">
        <v>3614</v>
      </c>
      <c r="O68" s="807" t="s">
        <v>35</v>
      </c>
      <c r="P68" s="807" t="s">
        <v>3615</v>
      </c>
      <c r="Q68" s="807" t="s">
        <v>3359</v>
      </c>
      <c r="R68" s="807" t="s">
        <v>35</v>
      </c>
      <c r="S68" s="807" t="s">
        <v>3024</v>
      </c>
      <c r="T68" s="807" t="s">
        <v>35</v>
      </c>
      <c r="U68" s="807" t="s">
        <v>35</v>
      </c>
      <c r="V68" s="807" t="s">
        <v>35</v>
      </c>
      <c r="W68" s="807" t="s">
        <v>35</v>
      </c>
      <c r="X68" s="807" t="s">
        <v>35</v>
      </c>
      <c r="Y68" s="807" t="s">
        <v>35</v>
      </c>
      <c r="Z68" s="807" t="s">
        <v>35</v>
      </c>
      <c r="AA68" s="807" t="s">
        <v>35</v>
      </c>
      <c r="AB68" s="807" t="s">
        <v>35</v>
      </c>
      <c r="AC68" s="807" t="s">
        <v>35</v>
      </c>
      <c r="AD68" s="807" t="s">
        <v>35</v>
      </c>
      <c r="AE68" s="807" t="s">
        <v>35</v>
      </c>
      <c r="AF68" s="807" t="s">
        <v>35</v>
      </c>
      <c r="AG68" s="807" t="s">
        <v>35</v>
      </c>
      <c r="AH68" s="807" t="s">
        <v>35</v>
      </c>
      <c r="AI68" s="807" t="s">
        <v>35</v>
      </c>
      <c r="AJ68" s="807" t="s">
        <v>35</v>
      </c>
    </row>
    <row r="69" spans="1:36" ht="18.75" customHeight="1" x14ac:dyDescent="0.25">
      <c r="A69" s="118" t="s">
        <v>77</v>
      </c>
      <c r="B69" s="807" t="s">
        <v>76</v>
      </c>
      <c r="C69" s="807" t="s">
        <v>75</v>
      </c>
      <c r="D69" s="807" t="s">
        <v>3646</v>
      </c>
      <c r="E69" s="807" t="s">
        <v>2977</v>
      </c>
      <c r="F69" s="807" t="s">
        <v>312</v>
      </c>
      <c r="G69" s="807" t="s">
        <v>312</v>
      </c>
      <c r="H69" s="807" t="s">
        <v>3647</v>
      </c>
      <c r="I69" s="807">
        <v>201</v>
      </c>
      <c r="J69" s="124" t="s">
        <v>3648</v>
      </c>
      <c r="K69" s="124" t="s">
        <v>35</v>
      </c>
      <c r="L69" s="807" t="s">
        <v>2980</v>
      </c>
      <c r="M69" s="807" t="s">
        <v>3613</v>
      </c>
      <c r="N69" s="807" t="s">
        <v>3614</v>
      </c>
      <c r="O69" s="807" t="s">
        <v>35</v>
      </c>
      <c r="P69" s="807" t="s">
        <v>3649</v>
      </c>
      <c r="Q69" s="807" t="s">
        <v>3359</v>
      </c>
      <c r="R69" s="807" t="s">
        <v>35</v>
      </c>
      <c r="S69" s="807" t="s">
        <v>3024</v>
      </c>
      <c r="T69" s="807" t="s">
        <v>35</v>
      </c>
      <c r="U69" s="807" t="s">
        <v>35</v>
      </c>
      <c r="V69" s="807" t="s">
        <v>35</v>
      </c>
      <c r="W69" s="807" t="s">
        <v>35</v>
      </c>
      <c r="X69" s="807" t="s">
        <v>35</v>
      </c>
      <c r="Y69" s="807" t="s">
        <v>35</v>
      </c>
      <c r="Z69" s="807" t="s">
        <v>35</v>
      </c>
      <c r="AA69" s="807" t="s">
        <v>35</v>
      </c>
      <c r="AB69" s="807" t="s">
        <v>35</v>
      </c>
      <c r="AC69" s="807" t="s">
        <v>35</v>
      </c>
      <c r="AD69" s="807" t="s">
        <v>35</v>
      </c>
      <c r="AE69" s="807" t="s">
        <v>35</v>
      </c>
      <c r="AF69" s="807" t="s">
        <v>35</v>
      </c>
      <c r="AG69" s="807" t="s">
        <v>35</v>
      </c>
      <c r="AH69" s="807" t="s">
        <v>35</v>
      </c>
      <c r="AI69" s="807" t="s">
        <v>35</v>
      </c>
      <c r="AJ69" s="807" t="s">
        <v>35</v>
      </c>
    </row>
    <row r="70" spans="1:36" ht="18.75" customHeight="1" x14ac:dyDescent="0.25">
      <c r="A70" s="118" t="s">
        <v>77</v>
      </c>
      <c r="B70" s="807" t="s">
        <v>76</v>
      </c>
      <c r="C70" s="807" t="s">
        <v>75</v>
      </c>
      <c r="D70" s="807" t="s">
        <v>3650</v>
      </c>
      <c r="E70" s="807" t="s">
        <v>2977</v>
      </c>
      <c r="F70" s="807" t="s">
        <v>3651</v>
      </c>
      <c r="G70" s="807" t="s">
        <v>3235</v>
      </c>
      <c r="H70" s="807" t="s">
        <v>3652</v>
      </c>
      <c r="I70" s="807">
        <v>87</v>
      </c>
      <c r="J70" s="124" t="s">
        <v>3074</v>
      </c>
      <c r="K70" s="124" t="s">
        <v>35</v>
      </c>
      <c r="L70" s="807" t="s">
        <v>2980</v>
      </c>
      <c r="M70" s="807" t="s">
        <v>3613</v>
      </c>
      <c r="N70" s="807" t="s">
        <v>3614</v>
      </c>
      <c r="O70" s="807" t="s">
        <v>35</v>
      </c>
      <c r="P70" s="807" t="s">
        <v>3649</v>
      </c>
      <c r="Q70" s="807" t="s">
        <v>3359</v>
      </c>
      <c r="R70" s="807" t="s">
        <v>35</v>
      </c>
      <c r="S70" s="807" t="s">
        <v>3024</v>
      </c>
      <c r="T70" s="807" t="s">
        <v>35</v>
      </c>
      <c r="U70" s="807" t="s">
        <v>35</v>
      </c>
      <c r="V70" s="807" t="s">
        <v>35</v>
      </c>
      <c r="W70" s="807" t="s">
        <v>35</v>
      </c>
      <c r="X70" s="807" t="s">
        <v>35</v>
      </c>
      <c r="Y70" s="807" t="s">
        <v>35</v>
      </c>
      <c r="Z70" s="807" t="s">
        <v>35</v>
      </c>
      <c r="AA70" s="807" t="s">
        <v>35</v>
      </c>
      <c r="AB70" s="807" t="s">
        <v>35</v>
      </c>
      <c r="AC70" s="807" t="s">
        <v>35</v>
      </c>
      <c r="AD70" s="807" t="s">
        <v>35</v>
      </c>
      <c r="AE70" s="807" t="s">
        <v>35</v>
      </c>
      <c r="AF70" s="807" t="s">
        <v>35</v>
      </c>
      <c r="AG70" s="807" t="s">
        <v>35</v>
      </c>
      <c r="AH70" s="807" t="s">
        <v>35</v>
      </c>
      <c r="AI70" s="807" t="s">
        <v>35</v>
      </c>
      <c r="AJ70" s="807" t="s">
        <v>35</v>
      </c>
    </row>
    <row r="71" spans="1:36" ht="18.75" customHeight="1" x14ac:dyDescent="0.25">
      <c r="A71" s="118" t="s">
        <v>77</v>
      </c>
      <c r="B71" s="807" t="s">
        <v>76</v>
      </c>
      <c r="C71" s="807" t="s">
        <v>75</v>
      </c>
      <c r="D71" s="807" t="s">
        <v>3653</v>
      </c>
      <c r="E71" s="807" t="s">
        <v>2977</v>
      </c>
      <c r="F71" s="807" t="s">
        <v>3654</v>
      </c>
      <c r="G71" s="807" t="s">
        <v>3266</v>
      </c>
      <c r="H71" s="807" t="s">
        <v>3655</v>
      </c>
      <c r="I71" s="807">
        <v>280</v>
      </c>
      <c r="J71" s="124" t="s">
        <v>35</v>
      </c>
      <c r="K71" s="124" t="s">
        <v>35</v>
      </c>
      <c r="L71" s="807" t="s">
        <v>3453</v>
      </c>
      <c r="M71" s="124" t="s">
        <v>35</v>
      </c>
      <c r="N71" s="124" t="s">
        <v>35</v>
      </c>
      <c r="O71" s="807">
        <v>3545</v>
      </c>
      <c r="P71" s="807" t="s">
        <v>35</v>
      </c>
      <c r="Q71" s="807" t="s">
        <v>35</v>
      </c>
      <c r="R71" s="807" t="s">
        <v>35</v>
      </c>
      <c r="S71" s="807" t="s">
        <v>35</v>
      </c>
      <c r="T71" s="807" t="s">
        <v>35</v>
      </c>
      <c r="U71" s="807" t="s">
        <v>35</v>
      </c>
      <c r="V71" s="807" t="s">
        <v>35</v>
      </c>
      <c r="W71" s="807" t="s">
        <v>35</v>
      </c>
      <c r="X71" s="807" t="s">
        <v>35</v>
      </c>
      <c r="Y71" s="807" t="s">
        <v>35</v>
      </c>
      <c r="Z71" s="807" t="s">
        <v>35</v>
      </c>
      <c r="AA71" s="807" t="s">
        <v>35</v>
      </c>
      <c r="AB71" s="807" t="s">
        <v>35</v>
      </c>
      <c r="AC71" s="807" t="s">
        <v>35</v>
      </c>
      <c r="AD71" s="807" t="s">
        <v>35</v>
      </c>
      <c r="AE71" s="807" t="s">
        <v>35</v>
      </c>
      <c r="AF71" s="807" t="s">
        <v>35</v>
      </c>
      <c r="AG71" s="807" t="s">
        <v>35</v>
      </c>
      <c r="AH71" s="807" t="s">
        <v>35</v>
      </c>
      <c r="AI71" s="807" t="s">
        <v>35</v>
      </c>
      <c r="AJ71" s="807" t="s">
        <v>35</v>
      </c>
    </row>
    <row r="72" spans="1:36" ht="18.75" customHeight="1" x14ac:dyDescent="0.25">
      <c r="A72" s="118" t="s">
        <v>77</v>
      </c>
      <c r="B72" s="807" t="s">
        <v>76</v>
      </c>
      <c r="C72" s="807" t="s">
        <v>75</v>
      </c>
      <c r="D72" s="807" t="s">
        <v>3656</v>
      </c>
      <c r="E72" s="807" t="s">
        <v>2977</v>
      </c>
      <c r="F72" s="807" t="s">
        <v>312</v>
      </c>
      <c r="G72" s="807" t="s">
        <v>312</v>
      </c>
      <c r="H72" s="807" t="s">
        <v>3657</v>
      </c>
      <c r="I72" s="807">
        <v>108</v>
      </c>
      <c r="J72" s="124" t="s">
        <v>3086</v>
      </c>
      <c r="K72" s="124" t="s">
        <v>35</v>
      </c>
      <c r="L72" s="807" t="s">
        <v>2980</v>
      </c>
      <c r="M72" s="807" t="s">
        <v>3613</v>
      </c>
      <c r="N72" s="807" t="s">
        <v>3614</v>
      </c>
      <c r="O72" s="807" t="s">
        <v>35</v>
      </c>
      <c r="P72" s="807" t="s">
        <v>3649</v>
      </c>
      <c r="Q72" s="807" t="s">
        <v>3359</v>
      </c>
      <c r="R72" s="807" t="s">
        <v>35</v>
      </c>
      <c r="S72" s="807" t="s">
        <v>3024</v>
      </c>
      <c r="T72" s="807" t="s">
        <v>35</v>
      </c>
      <c r="U72" s="807" t="s">
        <v>35</v>
      </c>
      <c r="V72" s="807" t="s">
        <v>35</v>
      </c>
      <c r="W72" s="807" t="s">
        <v>35</v>
      </c>
      <c r="X72" s="807" t="s">
        <v>35</v>
      </c>
      <c r="Y72" s="807" t="s">
        <v>35</v>
      </c>
      <c r="Z72" s="807" t="s">
        <v>35</v>
      </c>
      <c r="AA72" s="807" t="s">
        <v>35</v>
      </c>
      <c r="AB72" s="807" t="s">
        <v>35</v>
      </c>
      <c r="AC72" s="807" t="s">
        <v>35</v>
      </c>
      <c r="AD72" s="807" t="s">
        <v>35</v>
      </c>
      <c r="AE72" s="807" t="s">
        <v>35</v>
      </c>
      <c r="AF72" s="807" t="s">
        <v>35</v>
      </c>
      <c r="AG72" s="807" t="s">
        <v>35</v>
      </c>
      <c r="AH72" s="807" t="s">
        <v>35</v>
      </c>
      <c r="AI72" s="807" t="s">
        <v>35</v>
      </c>
      <c r="AJ72" s="807" t="s">
        <v>35</v>
      </c>
    </row>
    <row r="73" spans="1:36" ht="18.75" customHeight="1" x14ac:dyDescent="0.25">
      <c r="A73" s="118" t="s">
        <v>77</v>
      </c>
      <c r="B73" s="807" t="s">
        <v>76</v>
      </c>
      <c r="C73" s="807" t="s">
        <v>75</v>
      </c>
      <c r="D73" s="807" t="s">
        <v>3658</v>
      </c>
      <c r="E73" s="807" t="s">
        <v>2977</v>
      </c>
      <c r="F73" s="807" t="s">
        <v>312</v>
      </c>
      <c r="G73" s="807" t="s">
        <v>312</v>
      </c>
      <c r="H73" s="807" t="s">
        <v>3659</v>
      </c>
      <c r="I73" s="807">
        <v>114</v>
      </c>
      <c r="J73" s="124" t="s">
        <v>3086</v>
      </c>
      <c r="K73" s="124" t="s">
        <v>35</v>
      </c>
      <c r="L73" s="807" t="s">
        <v>2980</v>
      </c>
      <c r="M73" s="807" t="s">
        <v>3613</v>
      </c>
      <c r="N73" s="807" t="s">
        <v>3614</v>
      </c>
      <c r="O73" s="807" t="s">
        <v>35</v>
      </c>
      <c r="P73" s="807" t="s">
        <v>3649</v>
      </c>
      <c r="Q73" s="807" t="s">
        <v>3359</v>
      </c>
      <c r="R73" s="807" t="s">
        <v>35</v>
      </c>
      <c r="S73" s="807" t="s">
        <v>3024</v>
      </c>
      <c r="T73" s="807" t="s">
        <v>35</v>
      </c>
      <c r="U73" s="807" t="s">
        <v>35</v>
      </c>
      <c r="V73" s="807" t="s">
        <v>35</v>
      </c>
      <c r="W73" s="807" t="s">
        <v>35</v>
      </c>
      <c r="X73" s="807" t="s">
        <v>35</v>
      </c>
      <c r="Y73" s="807" t="s">
        <v>35</v>
      </c>
      <c r="Z73" s="807" t="s">
        <v>35</v>
      </c>
      <c r="AA73" s="807" t="s">
        <v>35</v>
      </c>
      <c r="AB73" s="807" t="s">
        <v>35</v>
      </c>
      <c r="AC73" s="807" t="s">
        <v>35</v>
      </c>
      <c r="AD73" s="807" t="s">
        <v>35</v>
      </c>
      <c r="AE73" s="807" t="s">
        <v>35</v>
      </c>
      <c r="AF73" s="807" t="s">
        <v>35</v>
      </c>
      <c r="AG73" s="807" t="s">
        <v>35</v>
      </c>
      <c r="AH73" s="807" t="s">
        <v>35</v>
      </c>
      <c r="AI73" s="807" t="s">
        <v>35</v>
      </c>
      <c r="AJ73" s="807" t="s">
        <v>35</v>
      </c>
    </row>
    <row r="74" spans="1:36" ht="18.75" customHeight="1" x14ac:dyDescent="0.25">
      <c r="A74" s="117" t="s">
        <v>82</v>
      </c>
      <c r="B74" s="119" t="s">
        <v>81</v>
      </c>
      <c r="C74" s="119" t="s">
        <v>80</v>
      </c>
      <c r="D74" s="119" t="s">
        <v>3660</v>
      </c>
      <c r="E74" s="119" t="s">
        <v>2977</v>
      </c>
      <c r="F74" s="119">
        <v>0</v>
      </c>
      <c r="G74" s="119" t="s">
        <v>35</v>
      </c>
      <c r="H74" s="119" t="s">
        <v>3661</v>
      </c>
      <c r="I74" s="119">
        <v>1476</v>
      </c>
      <c r="J74" s="120" t="s">
        <v>3662</v>
      </c>
      <c r="K74" s="120" t="s">
        <v>35</v>
      </c>
      <c r="L74" s="119" t="s">
        <v>2980</v>
      </c>
      <c r="M74" s="119" t="s">
        <v>3663</v>
      </c>
      <c r="N74" s="119" t="s">
        <v>3664</v>
      </c>
      <c r="O74" s="119" t="s">
        <v>35</v>
      </c>
      <c r="P74" s="119" t="s">
        <v>3665</v>
      </c>
      <c r="Q74" s="119" t="s">
        <v>3666</v>
      </c>
      <c r="R74" s="119" t="s">
        <v>7</v>
      </c>
      <c r="S74" s="119" t="s">
        <v>3024</v>
      </c>
      <c r="T74" s="119" t="s">
        <v>3667</v>
      </c>
      <c r="U74" s="119" t="s">
        <v>3668</v>
      </c>
      <c r="V74" s="119" t="s">
        <v>3669</v>
      </c>
      <c r="W74" s="119" t="s">
        <v>3670</v>
      </c>
      <c r="X74" s="119" t="s">
        <v>3671</v>
      </c>
      <c r="Y74" s="119" t="s">
        <v>3672</v>
      </c>
      <c r="Z74" s="119" t="s">
        <v>3673</v>
      </c>
      <c r="AA74" s="119" t="s">
        <v>3674</v>
      </c>
      <c r="AB74" s="119" t="s">
        <v>3675</v>
      </c>
      <c r="AC74" s="119" t="s">
        <v>3676</v>
      </c>
      <c r="AD74" s="119" t="s">
        <v>3677</v>
      </c>
      <c r="AE74" s="119" t="s">
        <v>3678</v>
      </c>
      <c r="AF74" s="119" t="s">
        <v>3679</v>
      </c>
      <c r="AG74" s="119" t="s">
        <v>3680</v>
      </c>
      <c r="AH74" s="119" t="s">
        <v>3681</v>
      </c>
      <c r="AI74" s="119" t="s">
        <v>3682</v>
      </c>
      <c r="AJ74" s="119" t="s">
        <v>3683</v>
      </c>
    </row>
    <row r="75" spans="1:36" ht="18.75" customHeight="1" x14ac:dyDescent="0.25">
      <c r="A75" s="117" t="s">
        <v>82</v>
      </c>
      <c r="B75" s="119" t="s">
        <v>81</v>
      </c>
      <c r="C75" s="119" t="s">
        <v>80</v>
      </c>
      <c r="D75" s="119" t="s">
        <v>3684</v>
      </c>
      <c r="E75" s="119" t="s">
        <v>2977</v>
      </c>
      <c r="F75" s="119" t="s">
        <v>3281</v>
      </c>
      <c r="G75" s="119" t="s">
        <v>3076</v>
      </c>
      <c r="H75" s="119" t="s">
        <v>3685</v>
      </c>
      <c r="I75" s="119">
        <v>1687</v>
      </c>
      <c r="J75" s="120" t="s">
        <v>3662</v>
      </c>
      <c r="K75" s="120" t="s">
        <v>35</v>
      </c>
      <c r="L75" s="119" t="s">
        <v>2980</v>
      </c>
      <c r="M75" s="119" t="s">
        <v>3663</v>
      </c>
      <c r="N75" s="119" t="s">
        <v>3664</v>
      </c>
      <c r="O75" s="119" t="s">
        <v>35</v>
      </c>
      <c r="P75" s="119" t="s">
        <v>3665</v>
      </c>
      <c r="Q75" s="119" t="s">
        <v>3686</v>
      </c>
      <c r="R75" s="119" t="s">
        <v>7</v>
      </c>
      <c r="S75" s="119" t="s">
        <v>3024</v>
      </c>
      <c r="T75" s="119" t="s">
        <v>35</v>
      </c>
      <c r="U75" s="119" t="s">
        <v>35</v>
      </c>
      <c r="V75" s="119" t="s">
        <v>35</v>
      </c>
      <c r="W75" s="119" t="s">
        <v>35</v>
      </c>
      <c r="X75" s="119" t="s">
        <v>35</v>
      </c>
      <c r="Y75" s="119" t="s">
        <v>35</v>
      </c>
      <c r="Z75" s="119" t="s">
        <v>35</v>
      </c>
      <c r="AA75" s="119" t="s">
        <v>35</v>
      </c>
      <c r="AB75" s="119" t="s">
        <v>35</v>
      </c>
      <c r="AC75" s="119" t="s">
        <v>35</v>
      </c>
      <c r="AD75" s="119" t="s">
        <v>35</v>
      </c>
      <c r="AE75" s="119" t="s">
        <v>35</v>
      </c>
      <c r="AF75" s="119" t="s">
        <v>35</v>
      </c>
      <c r="AG75" s="119" t="s">
        <v>35</v>
      </c>
      <c r="AH75" s="119" t="s">
        <v>35</v>
      </c>
      <c r="AI75" s="119" t="s">
        <v>35</v>
      </c>
      <c r="AJ75" s="119" t="s">
        <v>35</v>
      </c>
    </row>
    <row r="76" spans="1:36" ht="18.75" customHeight="1" x14ac:dyDescent="0.25">
      <c r="A76" s="117" t="s">
        <v>82</v>
      </c>
      <c r="B76" s="119" t="s">
        <v>81</v>
      </c>
      <c r="C76" s="119" t="s">
        <v>80</v>
      </c>
      <c r="D76" s="119" t="s">
        <v>3687</v>
      </c>
      <c r="E76" s="119" t="s">
        <v>2977</v>
      </c>
      <c r="F76" s="119" t="s">
        <v>3688</v>
      </c>
      <c r="G76" s="119" t="s">
        <v>3136</v>
      </c>
      <c r="H76" s="119" t="s">
        <v>3689</v>
      </c>
      <c r="I76" s="119">
        <v>1687</v>
      </c>
      <c r="J76" s="120" t="s">
        <v>3662</v>
      </c>
      <c r="K76" s="120" t="s">
        <v>35</v>
      </c>
      <c r="L76" s="119" t="s">
        <v>2980</v>
      </c>
      <c r="M76" s="119" t="s">
        <v>3663</v>
      </c>
      <c r="N76" s="119" t="s">
        <v>3664</v>
      </c>
      <c r="O76" s="119" t="s">
        <v>35</v>
      </c>
      <c r="P76" s="119" t="s">
        <v>3665</v>
      </c>
      <c r="Q76" s="119" t="s">
        <v>3686</v>
      </c>
      <c r="R76" s="119" t="s">
        <v>7</v>
      </c>
      <c r="S76" s="119" t="s">
        <v>3024</v>
      </c>
      <c r="T76" s="119" t="s">
        <v>35</v>
      </c>
      <c r="U76" s="119" t="s">
        <v>35</v>
      </c>
      <c r="V76" s="119" t="s">
        <v>35</v>
      </c>
      <c r="W76" s="119" t="s">
        <v>35</v>
      </c>
      <c r="X76" s="119" t="s">
        <v>35</v>
      </c>
      <c r="Y76" s="119" t="s">
        <v>35</v>
      </c>
      <c r="Z76" s="119" t="s">
        <v>35</v>
      </c>
      <c r="AA76" s="119" t="s">
        <v>35</v>
      </c>
      <c r="AB76" s="119" t="s">
        <v>35</v>
      </c>
      <c r="AC76" s="119" t="s">
        <v>35</v>
      </c>
      <c r="AD76" s="119" t="s">
        <v>35</v>
      </c>
      <c r="AE76" s="119" t="s">
        <v>35</v>
      </c>
      <c r="AF76" s="119" t="s">
        <v>35</v>
      </c>
      <c r="AG76" s="119" t="s">
        <v>35</v>
      </c>
      <c r="AH76" s="119" t="s">
        <v>35</v>
      </c>
      <c r="AI76" s="119" t="s">
        <v>35</v>
      </c>
      <c r="AJ76" s="119" t="s">
        <v>35</v>
      </c>
    </row>
    <row r="77" spans="1:36" ht="18.75" customHeight="1" x14ac:dyDescent="0.25">
      <c r="A77" s="117" t="s">
        <v>82</v>
      </c>
      <c r="B77" s="119" t="s">
        <v>81</v>
      </c>
      <c r="C77" s="119" t="s">
        <v>80</v>
      </c>
      <c r="D77" s="119" t="s">
        <v>3690</v>
      </c>
      <c r="E77" s="119" t="s">
        <v>2977</v>
      </c>
      <c r="F77" s="119" t="s">
        <v>3691</v>
      </c>
      <c r="G77" s="119" t="s">
        <v>3076</v>
      </c>
      <c r="H77" s="119" t="s">
        <v>3692</v>
      </c>
      <c r="I77" s="119">
        <v>1742</v>
      </c>
      <c r="J77" s="120" t="s">
        <v>3693</v>
      </c>
      <c r="K77" s="120" t="s">
        <v>35</v>
      </c>
      <c r="L77" s="119" t="s">
        <v>2980</v>
      </c>
      <c r="M77" s="119" t="s">
        <v>3663</v>
      </c>
      <c r="N77" s="119" t="s">
        <v>3664</v>
      </c>
      <c r="O77" s="119" t="s">
        <v>35</v>
      </c>
      <c r="P77" s="119" t="s">
        <v>3188</v>
      </c>
      <c r="Q77" s="119" t="s">
        <v>3666</v>
      </c>
      <c r="R77" s="119" t="s">
        <v>7</v>
      </c>
      <c r="S77" s="119" t="s">
        <v>3024</v>
      </c>
      <c r="T77" s="119" t="s">
        <v>35</v>
      </c>
      <c r="U77" s="119" t="s">
        <v>35</v>
      </c>
      <c r="V77" s="119" t="s">
        <v>35</v>
      </c>
      <c r="W77" s="119" t="s">
        <v>35</v>
      </c>
      <c r="X77" s="119" t="s">
        <v>35</v>
      </c>
      <c r="Y77" s="119" t="s">
        <v>35</v>
      </c>
      <c r="Z77" s="119" t="s">
        <v>35</v>
      </c>
      <c r="AA77" s="119" t="s">
        <v>35</v>
      </c>
      <c r="AB77" s="119" t="s">
        <v>35</v>
      </c>
      <c r="AC77" s="119" t="s">
        <v>35</v>
      </c>
      <c r="AD77" s="119" t="s">
        <v>35</v>
      </c>
      <c r="AE77" s="119" t="s">
        <v>35</v>
      </c>
      <c r="AF77" s="119" t="s">
        <v>35</v>
      </c>
      <c r="AG77" s="119" t="s">
        <v>35</v>
      </c>
      <c r="AH77" s="119" t="s">
        <v>35</v>
      </c>
      <c r="AI77" s="119" t="s">
        <v>35</v>
      </c>
      <c r="AJ77" s="119" t="s">
        <v>35</v>
      </c>
    </row>
    <row r="78" spans="1:36" ht="18.75" customHeight="1" x14ac:dyDescent="0.25">
      <c r="A78" s="117" t="s">
        <v>82</v>
      </c>
      <c r="B78" s="119" t="s">
        <v>81</v>
      </c>
      <c r="C78" s="119" t="s">
        <v>80</v>
      </c>
      <c r="D78" s="119" t="s">
        <v>3694</v>
      </c>
      <c r="E78" s="119" t="s">
        <v>2977</v>
      </c>
      <c r="F78" s="119">
        <v>0</v>
      </c>
      <c r="G78" s="119" t="s">
        <v>35</v>
      </c>
      <c r="H78" s="119" t="s">
        <v>3695</v>
      </c>
      <c r="I78" s="119">
        <v>164</v>
      </c>
      <c r="J78" s="120" t="s">
        <v>35</v>
      </c>
      <c r="K78" s="120" t="s">
        <v>35</v>
      </c>
      <c r="L78" s="119" t="s">
        <v>3558</v>
      </c>
      <c r="M78" s="119" t="s">
        <v>35</v>
      </c>
      <c r="N78" s="119" t="s">
        <v>35</v>
      </c>
      <c r="O78" s="119">
        <v>714</v>
      </c>
      <c r="P78" s="119" t="s">
        <v>35</v>
      </c>
      <c r="Q78" s="119" t="s">
        <v>35</v>
      </c>
      <c r="R78" s="119" t="s">
        <v>35</v>
      </c>
      <c r="S78" s="119" t="s">
        <v>35</v>
      </c>
      <c r="T78" s="119" t="s">
        <v>35</v>
      </c>
      <c r="U78" s="119" t="s">
        <v>35</v>
      </c>
      <c r="V78" s="119" t="s">
        <v>35</v>
      </c>
      <c r="W78" s="119" t="s">
        <v>35</v>
      </c>
      <c r="X78" s="119" t="s">
        <v>35</v>
      </c>
      <c r="Y78" s="119" t="s">
        <v>35</v>
      </c>
      <c r="Z78" s="119" t="s">
        <v>35</v>
      </c>
      <c r="AA78" s="119" t="s">
        <v>35</v>
      </c>
      <c r="AB78" s="119" t="s">
        <v>35</v>
      </c>
      <c r="AC78" s="119" t="s">
        <v>35</v>
      </c>
      <c r="AD78" s="119" t="s">
        <v>35</v>
      </c>
      <c r="AE78" s="119" t="s">
        <v>35</v>
      </c>
      <c r="AF78" s="119" t="s">
        <v>35</v>
      </c>
      <c r="AG78" s="119" t="s">
        <v>35</v>
      </c>
      <c r="AH78" s="119" t="s">
        <v>35</v>
      </c>
      <c r="AI78" s="119" t="s">
        <v>35</v>
      </c>
      <c r="AJ78" s="119" t="s">
        <v>35</v>
      </c>
    </row>
    <row r="79" spans="1:36" ht="18.75" customHeight="1" x14ac:dyDescent="0.25">
      <c r="A79" s="117" t="s">
        <v>82</v>
      </c>
      <c r="B79" s="119" t="s">
        <v>81</v>
      </c>
      <c r="C79" s="119" t="s">
        <v>80</v>
      </c>
      <c r="D79" s="119" t="s">
        <v>3696</v>
      </c>
      <c r="E79" s="119" t="s">
        <v>2977</v>
      </c>
      <c r="F79" s="119">
        <v>0</v>
      </c>
      <c r="G79" s="119" t="s">
        <v>35</v>
      </c>
      <c r="H79" s="119" t="s">
        <v>3697</v>
      </c>
      <c r="I79" s="119">
        <v>778</v>
      </c>
      <c r="J79" s="120" t="s">
        <v>3698</v>
      </c>
      <c r="K79" s="120" t="s">
        <v>35</v>
      </c>
      <c r="L79" s="119" t="s">
        <v>2980</v>
      </c>
      <c r="M79" s="119" t="s">
        <v>3663</v>
      </c>
      <c r="N79" s="119" t="s">
        <v>3664</v>
      </c>
      <c r="O79" s="119" t="s">
        <v>35</v>
      </c>
      <c r="P79" s="119" t="s">
        <v>3665</v>
      </c>
      <c r="Q79" s="119" t="s">
        <v>3686</v>
      </c>
      <c r="R79" s="119" t="s">
        <v>7</v>
      </c>
      <c r="S79" s="119" t="s">
        <v>3024</v>
      </c>
      <c r="T79" s="119" t="s">
        <v>35</v>
      </c>
      <c r="U79" s="119" t="s">
        <v>35</v>
      </c>
      <c r="V79" s="119" t="s">
        <v>35</v>
      </c>
      <c r="W79" s="119" t="s">
        <v>35</v>
      </c>
      <c r="X79" s="119" t="s">
        <v>35</v>
      </c>
      <c r="Y79" s="119" t="s">
        <v>35</v>
      </c>
      <c r="Z79" s="119" t="s">
        <v>35</v>
      </c>
      <c r="AA79" s="119" t="s">
        <v>35</v>
      </c>
      <c r="AB79" s="119" t="s">
        <v>35</v>
      </c>
      <c r="AC79" s="119" t="s">
        <v>35</v>
      </c>
      <c r="AD79" s="119" t="s">
        <v>35</v>
      </c>
      <c r="AE79" s="119" t="s">
        <v>35</v>
      </c>
      <c r="AF79" s="119" t="s">
        <v>35</v>
      </c>
      <c r="AG79" s="119" t="s">
        <v>35</v>
      </c>
      <c r="AH79" s="119" t="s">
        <v>35</v>
      </c>
      <c r="AI79" s="119" t="s">
        <v>35</v>
      </c>
      <c r="AJ79" s="119" t="s">
        <v>35</v>
      </c>
    </row>
    <row r="80" spans="1:36" ht="18.75" customHeight="1" x14ac:dyDescent="0.25">
      <c r="A80" s="118" t="s">
        <v>87</v>
      </c>
      <c r="B80" s="807" t="s">
        <v>86</v>
      </c>
      <c r="C80" s="807" t="s">
        <v>85</v>
      </c>
      <c r="D80" s="807" t="s">
        <v>3699</v>
      </c>
      <c r="E80" s="807" t="s">
        <v>2977</v>
      </c>
      <c r="F80" s="807" t="s">
        <v>3700</v>
      </c>
      <c r="G80" s="807" t="s">
        <v>3136</v>
      </c>
      <c r="H80" s="807" t="s">
        <v>3701</v>
      </c>
      <c r="I80" s="807">
        <v>207</v>
      </c>
      <c r="J80" s="124" t="s">
        <v>3702</v>
      </c>
      <c r="K80" s="124" t="s">
        <v>35</v>
      </c>
      <c r="L80" s="807" t="s">
        <v>2980</v>
      </c>
      <c r="M80" s="807" t="s">
        <v>3703</v>
      </c>
      <c r="N80" s="807" t="s">
        <v>3704</v>
      </c>
      <c r="O80" s="807" t="s">
        <v>35</v>
      </c>
      <c r="P80" s="807" t="s">
        <v>3705</v>
      </c>
      <c r="Q80" s="807" t="s">
        <v>3706</v>
      </c>
      <c r="R80" s="807" t="s">
        <v>2985</v>
      </c>
      <c r="S80" s="807" t="s">
        <v>2985</v>
      </c>
      <c r="T80" s="807" t="s">
        <v>3707</v>
      </c>
      <c r="U80" s="807" t="s">
        <v>3055</v>
      </c>
      <c r="V80" s="807" t="s">
        <v>3057</v>
      </c>
      <c r="W80" s="807" t="s">
        <v>3057</v>
      </c>
      <c r="X80" s="807" t="s">
        <v>3057</v>
      </c>
      <c r="Y80" s="807" t="s">
        <v>3057</v>
      </c>
      <c r="Z80" s="807" t="s">
        <v>3708</v>
      </c>
      <c r="AA80" s="807" t="s">
        <v>3066</v>
      </c>
      <c r="AB80" s="807" t="s">
        <v>3709</v>
      </c>
      <c r="AC80" s="807" t="s">
        <v>3710</v>
      </c>
      <c r="AD80" s="807" t="s">
        <v>3711</v>
      </c>
      <c r="AE80" s="807" t="s">
        <v>3066</v>
      </c>
      <c r="AF80" s="807" t="s">
        <v>3066</v>
      </c>
      <c r="AG80" s="807" t="s">
        <v>3066</v>
      </c>
      <c r="AH80" s="807" t="s">
        <v>3712</v>
      </c>
      <c r="AI80" s="807" t="s">
        <v>3066</v>
      </c>
      <c r="AJ80" s="807" t="s">
        <v>3066</v>
      </c>
    </row>
    <row r="81" spans="1:36" ht="18.75" customHeight="1" x14ac:dyDescent="0.25">
      <c r="A81" s="117" t="s">
        <v>91</v>
      </c>
      <c r="B81" s="119" t="s">
        <v>90</v>
      </c>
      <c r="C81" s="119" t="s">
        <v>89</v>
      </c>
      <c r="D81" s="119" t="s">
        <v>3713</v>
      </c>
      <c r="E81" s="119" t="s">
        <v>2977</v>
      </c>
      <c r="F81" s="119" t="s">
        <v>3714</v>
      </c>
      <c r="G81" s="119" t="s">
        <v>3136</v>
      </c>
      <c r="H81" s="119" t="s">
        <v>3715</v>
      </c>
      <c r="I81" s="119">
        <v>1440</v>
      </c>
      <c r="J81" s="120" t="s">
        <v>3716</v>
      </c>
      <c r="K81" s="120" t="s">
        <v>35</v>
      </c>
      <c r="L81" s="119" t="s">
        <v>2980</v>
      </c>
      <c r="M81" s="119" t="s">
        <v>3717</v>
      </c>
      <c r="N81" s="119" t="s">
        <v>3718</v>
      </c>
      <c r="O81" s="119" t="s">
        <v>35</v>
      </c>
      <c r="P81" s="119" t="s">
        <v>3719</v>
      </c>
      <c r="Q81" s="119" t="s">
        <v>3579</v>
      </c>
      <c r="R81" s="119" t="s">
        <v>7</v>
      </c>
      <c r="S81" s="119" t="s">
        <v>3024</v>
      </c>
      <c r="T81" s="119" t="s">
        <v>3720</v>
      </c>
      <c r="U81" s="119" t="s">
        <v>3721</v>
      </c>
      <c r="V81" s="119" t="s">
        <v>3722</v>
      </c>
      <c r="W81" s="119" t="s">
        <v>3061</v>
      </c>
      <c r="X81" s="119" t="s">
        <v>3723</v>
      </c>
      <c r="Y81" s="119" t="s">
        <v>3724</v>
      </c>
      <c r="Z81" s="119" t="s">
        <v>3725</v>
      </c>
      <c r="AA81" s="119" t="s">
        <v>3726</v>
      </c>
      <c r="AB81" s="119" t="s">
        <v>3727</v>
      </c>
      <c r="AC81" s="119" t="s">
        <v>3728</v>
      </c>
      <c r="AD81" s="119" t="s">
        <v>3729</v>
      </c>
      <c r="AE81" s="119" t="s">
        <v>3730</v>
      </c>
      <c r="AF81" s="119" t="s">
        <v>3731</v>
      </c>
      <c r="AG81" s="119" t="s">
        <v>3732</v>
      </c>
      <c r="AH81" s="119" t="s">
        <v>3733</v>
      </c>
      <c r="AI81" s="119" t="s">
        <v>3734</v>
      </c>
      <c r="AJ81" s="119" t="s">
        <v>3735</v>
      </c>
    </row>
    <row r="82" spans="1:36" ht="18.75" customHeight="1" x14ac:dyDescent="0.25">
      <c r="A82" s="117" t="s">
        <v>91</v>
      </c>
      <c r="B82" s="119" t="s">
        <v>90</v>
      </c>
      <c r="C82" s="119" t="s">
        <v>89</v>
      </c>
      <c r="D82" s="119" t="s">
        <v>3736</v>
      </c>
      <c r="E82" s="119" t="s">
        <v>2977</v>
      </c>
      <c r="F82" s="119">
        <v>0</v>
      </c>
      <c r="G82" s="119" t="s">
        <v>35</v>
      </c>
      <c r="H82" s="119" t="s">
        <v>3737</v>
      </c>
      <c r="I82" s="119">
        <v>1400</v>
      </c>
      <c r="J82" s="120" t="s">
        <v>3738</v>
      </c>
      <c r="K82" s="120" t="s">
        <v>35</v>
      </c>
      <c r="L82" s="119" t="s">
        <v>2980</v>
      </c>
      <c r="M82" s="119" t="s">
        <v>3717</v>
      </c>
      <c r="N82" s="119" t="s">
        <v>3718</v>
      </c>
      <c r="O82" s="119" t="s">
        <v>35</v>
      </c>
      <c r="P82" s="119" t="s">
        <v>3719</v>
      </c>
      <c r="Q82" s="119" t="s">
        <v>3094</v>
      </c>
      <c r="R82" s="119" t="s">
        <v>7</v>
      </c>
      <c r="S82" s="119" t="s">
        <v>3024</v>
      </c>
      <c r="T82" s="119" t="s">
        <v>35</v>
      </c>
      <c r="U82" s="119" t="s">
        <v>35</v>
      </c>
      <c r="V82" s="119" t="s">
        <v>35</v>
      </c>
      <c r="W82" s="119" t="s">
        <v>35</v>
      </c>
      <c r="X82" s="119" t="s">
        <v>35</v>
      </c>
      <c r="Y82" s="119" t="s">
        <v>35</v>
      </c>
      <c r="Z82" s="119" t="s">
        <v>35</v>
      </c>
      <c r="AA82" s="119" t="s">
        <v>35</v>
      </c>
      <c r="AB82" s="119" t="s">
        <v>35</v>
      </c>
      <c r="AC82" s="119" t="s">
        <v>35</v>
      </c>
      <c r="AD82" s="119" t="s">
        <v>35</v>
      </c>
      <c r="AE82" s="119" t="s">
        <v>35</v>
      </c>
      <c r="AF82" s="119" t="s">
        <v>35</v>
      </c>
      <c r="AG82" s="119" t="s">
        <v>35</v>
      </c>
      <c r="AH82" s="119" t="s">
        <v>35</v>
      </c>
      <c r="AI82" s="119" t="s">
        <v>35</v>
      </c>
      <c r="AJ82" s="119" t="s">
        <v>35</v>
      </c>
    </row>
    <row r="83" spans="1:36" ht="18.75" customHeight="1" x14ac:dyDescent="0.25">
      <c r="A83" s="118" t="s">
        <v>923</v>
      </c>
      <c r="B83" s="807" t="s">
        <v>95</v>
      </c>
      <c r="C83" s="807" t="s">
        <v>94</v>
      </c>
      <c r="D83" s="807" t="s">
        <v>3739</v>
      </c>
      <c r="E83" s="807" t="s">
        <v>2977</v>
      </c>
      <c r="F83" s="807" t="s">
        <v>3740</v>
      </c>
      <c r="G83" s="807" t="s">
        <v>3741</v>
      </c>
      <c r="H83" s="807" t="s">
        <v>3739</v>
      </c>
      <c r="I83" s="807">
        <v>272</v>
      </c>
      <c r="J83" s="124" t="s">
        <v>3078</v>
      </c>
      <c r="K83" s="124" t="s">
        <v>35</v>
      </c>
      <c r="L83" s="807" t="s">
        <v>3742</v>
      </c>
      <c r="M83" s="807" t="s">
        <v>3743</v>
      </c>
      <c r="N83" s="807" t="s">
        <v>35</v>
      </c>
      <c r="O83" s="807" t="s">
        <v>35</v>
      </c>
      <c r="P83" s="807" t="s">
        <v>35</v>
      </c>
      <c r="Q83" s="807" t="s">
        <v>35</v>
      </c>
      <c r="R83" s="807" t="s">
        <v>35</v>
      </c>
      <c r="S83" s="807" t="s">
        <v>35</v>
      </c>
      <c r="T83" s="807" t="s">
        <v>3744</v>
      </c>
      <c r="U83" s="807" t="s">
        <v>3745</v>
      </c>
      <c r="V83" s="807" t="s">
        <v>3746</v>
      </c>
      <c r="W83" s="807" t="s">
        <v>3747</v>
      </c>
      <c r="X83" s="807" t="s">
        <v>3748</v>
      </c>
      <c r="Y83" s="807" t="s">
        <v>3749</v>
      </c>
      <c r="Z83" s="807" t="s">
        <v>3750</v>
      </c>
      <c r="AA83" s="807" t="s">
        <v>3751</v>
      </c>
      <c r="AB83" s="807" t="s">
        <v>3752</v>
      </c>
      <c r="AC83" s="807" t="s">
        <v>3753</v>
      </c>
      <c r="AD83" s="807" t="s">
        <v>3754</v>
      </c>
      <c r="AE83" s="807" t="s">
        <v>3755</v>
      </c>
      <c r="AF83" s="807" t="s">
        <v>3756</v>
      </c>
      <c r="AG83" s="807" t="s">
        <v>3757</v>
      </c>
      <c r="AH83" s="807" t="s">
        <v>3758</v>
      </c>
      <c r="AI83" s="807" t="s">
        <v>3759</v>
      </c>
      <c r="AJ83" s="807" t="s">
        <v>3760</v>
      </c>
    </row>
    <row r="84" spans="1:36" ht="18.75" customHeight="1" x14ac:dyDescent="0.25">
      <c r="A84" s="118" t="s">
        <v>923</v>
      </c>
      <c r="B84" s="807" t="s">
        <v>95</v>
      </c>
      <c r="C84" s="807" t="s">
        <v>94</v>
      </c>
      <c r="D84" s="807" t="s">
        <v>3761</v>
      </c>
      <c r="E84" s="807" t="s">
        <v>2977</v>
      </c>
      <c r="F84" s="807" t="s">
        <v>3597</v>
      </c>
      <c r="G84" s="807" t="s">
        <v>3005</v>
      </c>
      <c r="H84" s="807" t="s">
        <v>3761</v>
      </c>
      <c r="I84" s="807">
        <v>292</v>
      </c>
      <c r="J84" s="124" t="s">
        <v>3762</v>
      </c>
      <c r="K84" s="124" t="s">
        <v>35</v>
      </c>
      <c r="L84" s="807" t="s">
        <v>3742</v>
      </c>
      <c r="M84" s="807" t="s">
        <v>3743</v>
      </c>
      <c r="N84" s="807" t="s">
        <v>35</v>
      </c>
      <c r="O84" s="807" t="s">
        <v>35</v>
      </c>
      <c r="P84" s="807" t="s">
        <v>35</v>
      </c>
      <c r="Q84" s="807" t="s">
        <v>35</v>
      </c>
      <c r="R84" s="807" t="s">
        <v>35</v>
      </c>
      <c r="S84" s="807" t="s">
        <v>35</v>
      </c>
      <c r="T84" s="807" t="s">
        <v>35</v>
      </c>
      <c r="U84" s="807" t="s">
        <v>35</v>
      </c>
      <c r="V84" s="807" t="s">
        <v>35</v>
      </c>
      <c r="W84" s="807" t="s">
        <v>35</v>
      </c>
      <c r="X84" s="807" t="s">
        <v>35</v>
      </c>
      <c r="Y84" s="807" t="s">
        <v>35</v>
      </c>
      <c r="Z84" s="807" t="s">
        <v>35</v>
      </c>
      <c r="AA84" s="807" t="s">
        <v>35</v>
      </c>
      <c r="AB84" s="807" t="s">
        <v>35</v>
      </c>
      <c r="AC84" s="807" t="s">
        <v>35</v>
      </c>
      <c r="AD84" s="807" t="s">
        <v>35</v>
      </c>
      <c r="AE84" s="807" t="s">
        <v>35</v>
      </c>
      <c r="AF84" s="807" t="s">
        <v>35</v>
      </c>
      <c r="AG84" s="807" t="s">
        <v>35</v>
      </c>
      <c r="AH84" s="807" t="s">
        <v>35</v>
      </c>
      <c r="AI84" s="807" t="s">
        <v>35</v>
      </c>
      <c r="AJ84" s="807" t="s">
        <v>35</v>
      </c>
    </row>
    <row r="85" spans="1:36" ht="18.75" customHeight="1" x14ac:dyDescent="0.25">
      <c r="A85" s="117" t="s">
        <v>924</v>
      </c>
      <c r="B85" s="119" t="s">
        <v>99</v>
      </c>
      <c r="C85" s="119" t="s">
        <v>98</v>
      </c>
      <c r="D85" s="119" t="s">
        <v>3763</v>
      </c>
      <c r="E85" s="119" t="s">
        <v>2977</v>
      </c>
      <c r="F85" s="119" t="s">
        <v>3764</v>
      </c>
      <c r="G85" s="119" t="s">
        <v>3111</v>
      </c>
      <c r="H85" s="119" t="s">
        <v>3765</v>
      </c>
      <c r="I85" s="119">
        <v>88</v>
      </c>
      <c r="J85" s="120" t="s">
        <v>35</v>
      </c>
      <c r="K85" s="120" t="s">
        <v>3702</v>
      </c>
      <c r="L85" s="119" t="s">
        <v>3172</v>
      </c>
      <c r="M85" s="119" t="s">
        <v>3766</v>
      </c>
      <c r="N85" s="119" t="s">
        <v>35</v>
      </c>
      <c r="O85" s="119" t="s">
        <v>35</v>
      </c>
      <c r="P85" s="119" t="s">
        <v>35</v>
      </c>
      <c r="Q85" s="119" t="s">
        <v>35</v>
      </c>
      <c r="R85" s="119" t="s">
        <v>35</v>
      </c>
      <c r="S85" s="119" t="s">
        <v>35</v>
      </c>
      <c r="T85" s="119" t="s">
        <v>3767</v>
      </c>
      <c r="U85" s="119" t="s">
        <v>3768</v>
      </c>
      <c r="V85" s="119" t="s">
        <v>3769</v>
      </c>
      <c r="W85" s="119" t="s">
        <v>3770</v>
      </c>
      <c r="X85" s="119" t="s">
        <v>3771</v>
      </c>
      <c r="Y85" s="119" t="s">
        <v>3770</v>
      </c>
      <c r="Z85" s="119" t="s">
        <v>3772</v>
      </c>
      <c r="AA85" s="119" t="s">
        <v>3773</v>
      </c>
      <c r="AB85" s="119" t="s">
        <v>3774</v>
      </c>
      <c r="AC85" s="119" t="s">
        <v>3775</v>
      </c>
      <c r="AD85" s="119" t="s">
        <v>3776</v>
      </c>
      <c r="AE85" s="119" t="s">
        <v>3777</v>
      </c>
      <c r="AF85" s="119" t="s">
        <v>3778</v>
      </c>
      <c r="AG85" s="119" t="s">
        <v>3779</v>
      </c>
      <c r="AH85" s="119" t="s">
        <v>3780</v>
      </c>
      <c r="AI85" s="119" t="s">
        <v>3781</v>
      </c>
      <c r="AJ85" s="119" t="s">
        <v>3782</v>
      </c>
    </row>
    <row r="86" spans="1:36" ht="18.75" customHeight="1" x14ac:dyDescent="0.25">
      <c r="A86" s="117" t="s">
        <v>924</v>
      </c>
      <c r="B86" s="119" t="s">
        <v>99</v>
      </c>
      <c r="C86" s="119" t="s">
        <v>98</v>
      </c>
      <c r="D86" s="119" t="s">
        <v>3783</v>
      </c>
      <c r="E86" s="119" t="s">
        <v>2977</v>
      </c>
      <c r="F86" s="119" t="s">
        <v>3714</v>
      </c>
      <c r="G86" s="119" t="s">
        <v>3784</v>
      </c>
      <c r="H86" s="119" t="s">
        <v>3785</v>
      </c>
      <c r="I86" s="119">
        <v>694</v>
      </c>
      <c r="J86" s="120" t="s">
        <v>3142</v>
      </c>
      <c r="K86" s="120" t="s">
        <v>35</v>
      </c>
      <c r="L86" s="119" t="s">
        <v>2980</v>
      </c>
      <c r="M86" s="119" t="s">
        <v>3786</v>
      </c>
      <c r="N86" s="119" t="s">
        <v>3787</v>
      </c>
      <c r="O86" s="119" t="s">
        <v>35</v>
      </c>
      <c r="P86" s="119" t="s">
        <v>3566</v>
      </c>
      <c r="Q86" s="119" t="s">
        <v>3232</v>
      </c>
      <c r="R86" s="119" t="s">
        <v>3788</v>
      </c>
      <c r="S86" s="119" t="s">
        <v>7</v>
      </c>
      <c r="T86" s="119" t="s">
        <v>35</v>
      </c>
      <c r="U86" s="119" t="s">
        <v>35</v>
      </c>
      <c r="V86" s="119" t="s">
        <v>35</v>
      </c>
      <c r="W86" s="119" t="s">
        <v>35</v>
      </c>
      <c r="X86" s="119" t="s">
        <v>35</v>
      </c>
      <c r="Y86" s="119" t="s">
        <v>35</v>
      </c>
      <c r="Z86" s="119" t="s">
        <v>35</v>
      </c>
      <c r="AA86" s="119" t="s">
        <v>35</v>
      </c>
      <c r="AB86" s="119" t="s">
        <v>35</v>
      </c>
      <c r="AC86" s="119" t="s">
        <v>35</v>
      </c>
      <c r="AD86" s="119" t="s">
        <v>35</v>
      </c>
      <c r="AE86" s="119" t="s">
        <v>35</v>
      </c>
      <c r="AF86" s="119" t="s">
        <v>35</v>
      </c>
      <c r="AG86" s="119" t="s">
        <v>35</v>
      </c>
      <c r="AH86" s="119" t="s">
        <v>35</v>
      </c>
      <c r="AI86" s="119" t="s">
        <v>35</v>
      </c>
      <c r="AJ86" s="119" t="s">
        <v>35</v>
      </c>
    </row>
    <row r="87" spans="1:36" ht="18.75" customHeight="1" x14ac:dyDescent="0.25">
      <c r="A87" s="117" t="s">
        <v>924</v>
      </c>
      <c r="B87" s="119" t="s">
        <v>99</v>
      </c>
      <c r="C87" s="119" t="s">
        <v>98</v>
      </c>
      <c r="D87" s="119" t="s">
        <v>3789</v>
      </c>
      <c r="E87" s="119" t="s">
        <v>2977</v>
      </c>
      <c r="F87" s="119">
        <v>0</v>
      </c>
      <c r="G87" s="119" t="s">
        <v>35</v>
      </c>
      <c r="H87" s="119" t="s">
        <v>3790</v>
      </c>
      <c r="I87" s="119">
        <v>252</v>
      </c>
      <c r="J87" s="120" t="s">
        <v>35</v>
      </c>
      <c r="K87" s="120" t="s">
        <v>35</v>
      </c>
      <c r="L87" s="119" t="s">
        <v>3558</v>
      </c>
      <c r="M87" s="119" t="s">
        <v>35</v>
      </c>
      <c r="N87" s="119" t="s">
        <v>35</v>
      </c>
      <c r="O87" s="119">
        <v>789</v>
      </c>
      <c r="P87" s="119" t="s">
        <v>35</v>
      </c>
      <c r="Q87" s="119" t="s">
        <v>35</v>
      </c>
      <c r="R87" s="119" t="s">
        <v>35</v>
      </c>
      <c r="S87" s="119" t="s">
        <v>35</v>
      </c>
      <c r="T87" s="119" t="s">
        <v>35</v>
      </c>
      <c r="U87" s="119" t="s">
        <v>35</v>
      </c>
      <c r="V87" s="119" t="s">
        <v>35</v>
      </c>
      <c r="W87" s="119" t="s">
        <v>35</v>
      </c>
      <c r="X87" s="119" t="s">
        <v>35</v>
      </c>
      <c r="Y87" s="119" t="s">
        <v>35</v>
      </c>
      <c r="Z87" s="119" t="s">
        <v>35</v>
      </c>
      <c r="AA87" s="119" t="s">
        <v>35</v>
      </c>
      <c r="AB87" s="119" t="s">
        <v>35</v>
      </c>
      <c r="AC87" s="119" t="s">
        <v>35</v>
      </c>
      <c r="AD87" s="119" t="s">
        <v>35</v>
      </c>
      <c r="AE87" s="119" t="s">
        <v>35</v>
      </c>
      <c r="AF87" s="119" t="s">
        <v>35</v>
      </c>
      <c r="AG87" s="119" t="s">
        <v>35</v>
      </c>
      <c r="AH87" s="119" t="s">
        <v>35</v>
      </c>
      <c r="AI87" s="119" t="s">
        <v>35</v>
      </c>
      <c r="AJ87" s="119" t="s">
        <v>35</v>
      </c>
    </row>
    <row r="88" spans="1:36" ht="18.75" customHeight="1" x14ac:dyDescent="0.25">
      <c r="A88" s="118" t="s">
        <v>103</v>
      </c>
      <c r="B88" s="807" t="s">
        <v>102</v>
      </c>
      <c r="C88" s="807" t="s">
        <v>101</v>
      </c>
      <c r="D88" s="807" t="s">
        <v>3791</v>
      </c>
      <c r="E88" s="807" t="s">
        <v>2977</v>
      </c>
      <c r="F88" s="807" t="s">
        <v>3792</v>
      </c>
      <c r="G88" s="807" t="s">
        <v>3209</v>
      </c>
      <c r="H88" s="807" t="s">
        <v>3793</v>
      </c>
      <c r="I88" s="807">
        <v>672</v>
      </c>
      <c r="J88" s="124" t="s">
        <v>3794</v>
      </c>
      <c r="K88" s="124" t="s">
        <v>35</v>
      </c>
      <c r="L88" s="807" t="s">
        <v>2980</v>
      </c>
      <c r="M88" s="807" t="s">
        <v>3795</v>
      </c>
      <c r="N88" s="807" t="s">
        <v>3796</v>
      </c>
      <c r="O88" s="807" t="s">
        <v>35</v>
      </c>
      <c r="P88" s="807" t="s">
        <v>3797</v>
      </c>
      <c r="Q88" s="807" t="s">
        <v>3798</v>
      </c>
      <c r="R88" s="807" t="s">
        <v>7</v>
      </c>
      <c r="S88" s="807" t="s">
        <v>3024</v>
      </c>
      <c r="T88" s="807" t="s">
        <v>3799</v>
      </c>
      <c r="U88" s="807" t="s">
        <v>3800</v>
      </c>
      <c r="V88" s="807" t="s">
        <v>3801</v>
      </c>
      <c r="W88" s="807" t="s">
        <v>3802</v>
      </c>
      <c r="X88" s="807" t="s">
        <v>3803</v>
      </c>
      <c r="Y88" s="807" t="s">
        <v>3804</v>
      </c>
      <c r="Z88" s="807" t="s">
        <v>3805</v>
      </c>
      <c r="AA88" s="807" t="s">
        <v>3806</v>
      </c>
      <c r="AB88" s="807" t="s">
        <v>3807</v>
      </c>
      <c r="AC88" s="807" t="s">
        <v>3808</v>
      </c>
      <c r="AD88" s="807" t="s">
        <v>3809</v>
      </c>
      <c r="AE88" s="807" t="s">
        <v>3810</v>
      </c>
      <c r="AF88" s="807" t="s">
        <v>3811</v>
      </c>
      <c r="AG88" s="807" t="s">
        <v>3812</v>
      </c>
      <c r="AH88" s="807" t="s">
        <v>3813</v>
      </c>
      <c r="AI88" s="807" t="s">
        <v>3814</v>
      </c>
      <c r="AJ88" s="807" t="s">
        <v>3815</v>
      </c>
    </row>
    <row r="89" spans="1:36" ht="18.75" customHeight="1" x14ac:dyDescent="0.25">
      <c r="A89" s="118" t="s">
        <v>103</v>
      </c>
      <c r="B89" s="807" t="s">
        <v>102</v>
      </c>
      <c r="C89" s="807" t="s">
        <v>101</v>
      </c>
      <c r="D89" s="807" t="s">
        <v>3816</v>
      </c>
      <c r="E89" s="807" t="s">
        <v>2977</v>
      </c>
      <c r="F89" s="807" t="s">
        <v>3817</v>
      </c>
      <c r="G89" s="807" t="s">
        <v>3209</v>
      </c>
      <c r="H89" s="807" t="s">
        <v>3818</v>
      </c>
      <c r="I89" s="807">
        <v>543</v>
      </c>
      <c r="J89" s="124" t="s">
        <v>3819</v>
      </c>
      <c r="K89" s="124" t="s">
        <v>35</v>
      </c>
      <c r="L89" s="807" t="s">
        <v>2980</v>
      </c>
      <c r="M89" s="807" t="s">
        <v>3820</v>
      </c>
      <c r="N89" s="807" t="s">
        <v>3821</v>
      </c>
      <c r="O89" s="807" t="s">
        <v>35</v>
      </c>
      <c r="P89" s="807" t="s">
        <v>3822</v>
      </c>
      <c r="Q89" s="807" t="s">
        <v>3823</v>
      </c>
      <c r="R89" s="807" t="s">
        <v>7</v>
      </c>
      <c r="S89" s="807" t="s">
        <v>3024</v>
      </c>
      <c r="T89" s="807" t="s">
        <v>35</v>
      </c>
      <c r="U89" s="807" t="s">
        <v>35</v>
      </c>
      <c r="V89" s="807" t="s">
        <v>35</v>
      </c>
      <c r="W89" s="807" t="s">
        <v>35</v>
      </c>
      <c r="X89" s="807" t="s">
        <v>35</v>
      </c>
      <c r="Y89" s="807" t="s">
        <v>35</v>
      </c>
      <c r="Z89" s="807" t="s">
        <v>35</v>
      </c>
      <c r="AA89" s="807" t="s">
        <v>35</v>
      </c>
      <c r="AB89" s="807" t="s">
        <v>35</v>
      </c>
      <c r="AC89" s="807" t="s">
        <v>35</v>
      </c>
      <c r="AD89" s="807" t="s">
        <v>35</v>
      </c>
      <c r="AE89" s="807" t="s">
        <v>35</v>
      </c>
      <c r="AF89" s="807" t="s">
        <v>35</v>
      </c>
      <c r="AG89" s="807" t="s">
        <v>35</v>
      </c>
      <c r="AH89" s="807" t="s">
        <v>35</v>
      </c>
      <c r="AI89" s="807" t="s">
        <v>35</v>
      </c>
      <c r="AJ89" s="807" t="s">
        <v>35</v>
      </c>
    </row>
    <row r="90" spans="1:36" ht="18.75" customHeight="1" x14ac:dyDescent="0.25">
      <c r="A90" s="118" t="s">
        <v>103</v>
      </c>
      <c r="B90" s="807" t="s">
        <v>102</v>
      </c>
      <c r="C90" s="807" t="s">
        <v>101</v>
      </c>
      <c r="D90" s="807" t="s">
        <v>3824</v>
      </c>
      <c r="E90" s="807" t="s">
        <v>2977</v>
      </c>
      <c r="F90" s="807">
        <v>0</v>
      </c>
      <c r="G90" s="807" t="s">
        <v>35</v>
      </c>
      <c r="H90" s="807" t="s">
        <v>3825</v>
      </c>
      <c r="I90" s="807">
        <v>631</v>
      </c>
      <c r="J90" s="124" t="s">
        <v>3794</v>
      </c>
      <c r="K90" s="124" t="s">
        <v>35</v>
      </c>
      <c r="L90" s="807" t="s">
        <v>2980</v>
      </c>
      <c r="M90" s="807" t="s">
        <v>3826</v>
      </c>
      <c r="N90" s="807" t="s">
        <v>3827</v>
      </c>
      <c r="O90" s="807" t="s">
        <v>35</v>
      </c>
      <c r="P90" s="807" t="s">
        <v>3182</v>
      </c>
      <c r="Q90" s="807" t="s">
        <v>3798</v>
      </c>
      <c r="R90" s="807" t="s">
        <v>7</v>
      </c>
      <c r="S90" s="807" t="s">
        <v>3024</v>
      </c>
      <c r="T90" s="807" t="s">
        <v>35</v>
      </c>
      <c r="U90" s="807" t="s">
        <v>35</v>
      </c>
      <c r="V90" s="807" t="s">
        <v>35</v>
      </c>
      <c r="W90" s="807" t="s">
        <v>35</v>
      </c>
      <c r="X90" s="807" t="s">
        <v>35</v>
      </c>
      <c r="Y90" s="807" t="s">
        <v>35</v>
      </c>
      <c r="Z90" s="807" t="s">
        <v>35</v>
      </c>
      <c r="AA90" s="807" t="s">
        <v>35</v>
      </c>
      <c r="AB90" s="807" t="s">
        <v>35</v>
      </c>
      <c r="AC90" s="807" t="s">
        <v>35</v>
      </c>
      <c r="AD90" s="807" t="s">
        <v>35</v>
      </c>
      <c r="AE90" s="807" t="s">
        <v>35</v>
      </c>
      <c r="AF90" s="807" t="s">
        <v>35</v>
      </c>
      <c r="AG90" s="807" t="s">
        <v>35</v>
      </c>
      <c r="AH90" s="807" t="s">
        <v>35</v>
      </c>
      <c r="AI90" s="807" t="s">
        <v>35</v>
      </c>
      <c r="AJ90" s="807" t="s">
        <v>35</v>
      </c>
    </row>
    <row r="91" spans="1:36" ht="18.75" customHeight="1" x14ac:dyDescent="0.25">
      <c r="A91" s="118" t="s">
        <v>103</v>
      </c>
      <c r="B91" s="807" t="s">
        <v>102</v>
      </c>
      <c r="C91" s="807" t="s">
        <v>101</v>
      </c>
      <c r="D91" s="807" t="s">
        <v>3828</v>
      </c>
      <c r="E91" s="807" t="s">
        <v>3316</v>
      </c>
      <c r="F91" s="807" t="s">
        <v>312</v>
      </c>
      <c r="G91" s="807" t="s">
        <v>312</v>
      </c>
      <c r="H91" s="807" t="s">
        <v>3829</v>
      </c>
      <c r="I91" s="807">
        <v>172</v>
      </c>
      <c r="J91" s="124" t="s">
        <v>35</v>
      </c>
      <c r="K91" s="124" t="s">
        <v>35</v>
      </c>
      <c r="L91" s="807" t="s">
        <v>3558</v>
      </c>
      <c r="M91" s="807" t="s">
        <v>35</v>
      </c>
      <c r="N91" s="807" t="s">
        <v>35</v>
      </c>
      <c r="O91" s="807">
        <v>3122</v>
      </c>
      <c r="P91" s="807" t="s">
        <v>35</v>
      </c>
      <c r="Q91" s="807" t="s">
        <v>35</v>
      </c>
      <c r="R91" s="807" t="s">
        <v>35</v>
      </c>
      <c r="S91" s="807" t="s">
        <v>35</v>
      </c>
      <c r="T91" s="807" t="s">
        <v>35</v>
      </c>
      <c r="U91" s="807" t="s">
        <v>35</v>
      </c>
      <c r="V91" s="807" t="s">
        <v>35</v>
      </c>
      <c r="W91" s="807" t="s">
        <v>35</v>
      </c>
      <c r="X91" s="807" t="s">
        <v>35</v>
      </c>
      <c r="Y91" s="807" t="s">
        <v>35</v>
      </c>
      <c r="Z91" s="807" t="s">
        <v>35</v>
      </c>
      <c r="AA91" s="807" t="s">
        <v>35</v>
      </c>
      <c r="AB91" s="807" t="s">
        <v>35</v>
      </c>
      <c r="AC91" s="807" t="s">
        <v>35</v>
      </c>
      <c r="AD91" s="807" t="s">
        <v>35</v>
      </c>
      <c r="AE91" s="807" t="s">
        <v>35</v>
      </c>
      <c r="AF91" s="807" t="s">
        <v>35</v>
      </c>
      <c r="AG91" s="807" t="s">
        <v>35</v>
      </c>
      <c r="AH91" s="807" t="s">
        <v>35</v>
      </c>
      <c r="AI91" s="807" t="s">
        <v>35</v>
      </c>
      <c r="AJ91" s="807" t="s">
        <v>35</v>
      </c>
    </row>
    <row r="92" spans="1:36" ht="18.75" customHeight="1" x14ac:dyDescent="0.25">
      <c r="A92" s="117" t="s">
        <v>107</v>
      </c>
      <c r="B92" s="119" t="s">
        <v>106</v>
      </c>
      <c r="C92" s="119" t="s">
        <v>105</v>
      </c>
      <c r="D92" s="119" t="s">
        <v>3830</v>
      </c>
      <c r="E92" s="119" t="s">
        <v>2977</v>
      </c>
      <c r="F92" s="119" t="s">
        <v>312</v>
      </c>
      <c r="G92" s="119" t="s">
        <v>312</v>
      </c>
      <c r="H92" s="119" t="s">
        <v>3831</v>
      </c>
      <c r="I92" s="119">
        <v>852</v>
      </c>
      <c r="J92" s="120" t="s">
        <v>3363</v>
      </c>
      <c r="K92" s="120" t="s">
        <v>35</v>
      </c>
      <c r="L92" s="119" t="s">
        <v>3832</v>
      </c>
      <c r="M92" s="119" t="s">
        <v>3833</v>
      </c>
      <c r="N92" s="119" t="s">
        <v>3834</v>
      </c>
      <c r="O92" s="119" t="s">
        <v>35</v>
      </c>
      <c r="P92" s="119" t="s">
        <v>3835</v>
      </c>
      <c r="Q92" s="119" t="s">
        <v>3836</v>
      </c>
      <c r="R92" s="119" t="s">
        <v>7</v>
      </c>
      <c r="S92" s="119" t="s">
        <v>3024</v>
      </c>
      <c r="T92" s="119" t="s">
        <v>3837</v>
      </c>
      <c r="U92" s="119" t="s">
        <v>3838</v>
      </c>
      <c r="V92" s="119" t="s">
        <v>3839</v>
      </c>
      <c r="W92" s="119" t="s">
        <v>3840</v>
      </c>
      <c r="X92" s="119" t="s">
        <v>3841</v>
      </c>
      <c r="Y92" s="119" t="s">
        <v>3842</v>
      </c>
      <c r="Z92" s="119" t="s">
        <v>3843</v>
      </c>
      <c r="AA92" s="119" t="s">
        <v>3844</v>
      </c>
      <c r="AB92" s="119" t="s">
        <v>3845</v>
      </c>
      <c r="AC92" s="119" t="s">
        <v>3846</v>
      </c>
      <c r="AD92" s="119" t="s">
        <v>3847</v>
      </c>
      <c r="AE92" s="119" t="s">
        <v>3848</v>
      </c>
      <c r="AF92" s="119" t="s">
        <v>3849</v>
      </c>
      <c r="AG92" s="119" t="s">
        <v>3850</v>
      </c>
      <c r="AH92" s="119" t="s">
        <v>3851</v>
      </c>
      <c r="AI92" s="119" t="s">
        <v>3852</v>
      </c>
      <c r="AJ92" s="119" t="s">
        <v>3853</v>
      </c>
    </row>
    <row r="93" spans="1:36" ht="18.75" customHeight="1" x14ac:dyDescent="0.25">
      <c r="A93" s="117" t="s">
        <v>107</v>
      </c>
      <c r="B93" s="119" t="s">
        <v>106</v>
      </c>
      <c r="C93" s="119" t="s">
        <v>105</v>
      </c>
      <c r="D93" s="119" t="s">
        <v>3854</v>
      </c>
      <c r="E93" s="119" t="s">
        <v>3316</v>
      </c>
      <c r="F93" s="119" t="s">
        <v>3855</v>
      </c>
      <c r="G93" s="119" t="s">
        <v>3266</v>
      </c>
      <c r="H93" s="119" t="s">
        <v>3856</v>
      </c>
      <c r="I93" s="119">
        <v>575</v>
      </c>
      <c r="J93" s="120" t="s">
        <v>3857</v>
      </c>
      <c r="K93" s="120" t="s">
        <v>35</v>
      </c>
      <c r="L93" s="119" t="s">
        <v>3858</v>
      </c>
      <c r="M93" s="119" t="s">
        <v>3833</v>
      </c>
      <c r="N93" s="119" t="s">
        <v>3834</v>
      </c>
      <c r="O93" s="119" t="s">
        <v>35</v>
      </c>
      <c r="P93" s="119" t="s">
        <v>3462</v>
      </c>
      <c r="Q93" s="119" t="s">
        <v>3859</v>
      </c>
      <c r="R93" s="119" t="s">
        <v>7</v>
      </c>
      <c r="S93" s="119" t="s">
        <v>3024</v>
      </c>
      <c r="T93" s="119" t="s">
        <v>35</v>
      </c>
      <c r="U93" s="119" t="s">
        <v>35</v>
      </c>
      <c r="V93" s="119" t="s">
        <v>35</v>
      </c>
      <c r="W93" s="119" t="s">
        <v>35</v>
      </c>
      <c r="X93" s="119" t="s">
        <v>35</v>
      </c>
      <c r="Y93" s="119" t="s">
        <v>35</v>
      </c>
      <c r="Z93" s="119" t="s">
        <v>35</v>
      </c>
      <c r="AA93" s="119" t="s">
        <v>35</v>
      </c>
      <c r="AB93" s="119" t="s">
        <v>35</v>
      </c>
      <c r="AC93" s="119" t="s">
        <v>35</v>
      </c>
      <c r="AD93" s="119" t="s">
        <v>35</v>
      </c>
      <c r="AE93" s="119" t="s">
        <v>35</v>
      </c>
      <c r="AF93" s="119" t="s">
        <v>35</v>
      </c>
      <c r="AG93" s="119" t="s">
        <v>35</v>
      </c>
      <c r="AH93" s="119" t="s">
        <v>35</v>
      </c>
      <c r="AI93" s="119" t="s">
        <v>35</v>
      </c>
      <c r="AJ93" s="119" t="s">
        <v>35</v>
      </c>
    </row>
    <row r="94" spans="1:36" ht="18.75" customHeight="1" x14ac:dyDescent="0.25">
      <c r="A94" s="117" t="s">
        <v>107</v>
      </c>
      <c r="B94" s="119" t="s">
        <v>106</v>
      </c>
      <c r="C94" s="119" t="s">
        <v>105</v>
      </c>
      <c r="D94" s="119" t="s">
        <v>3860</v>
      </c>
      <c r="E94" s="119" t="s">
        <v>2977</v>
      </c>
      <c r="F94" s="119" t="s">
        <v>3700</v>
      </c>
      <c r="G94" s="119" t="s">
        <v>3266</v>
      </c>
      <c r="H94" s="119" t="s">
        <v>3861</v>
      </c>
      <c r="I94" s="119">
        <v>831</v>
      </c>
      <c r="J94" s="120" t="s">
        <v>3363</v>
      </c>
      <c r="K94" s="120" t="s">
        <v>35</v>
      </c>
      <c r="L94" s="119" t="s">
        <v>3832</v>
      </c>
      <c r="M94" s="119" t="s">
        <v>3833</v>
      </c>
      <c r="N94" s="119" t="s">
        <v>3834</v>
      </c>
      <c r="O94" s="119" t="s">
        <v>35</v>
      </c>
      <c r="P94" s="119" t="s">
        <v>3862</v>
      </c>
      <c r="Q94" s="119" t="s">
        <v>3863</v>
      </c>
      <c r="R94" s="119" t="s">
        <v>7</v>
      </c>
      <c r="S94" s="119" t="s">
        <v>3024</v>
      </c>
      <c r="T94" s="119" t="s">
        <v>35</v>
      </c>
      <c r="U94" s="119" t="s">
        <v>35</v>
      </c>
      <c r="V94" s="119" t="s">
        <v>35</v>
      </c>
      <c r="W94" s="119" t="s">
        <v>35</v>
      </c>
      <c r="X94" s="119" t="s">
        <v>35</v>
      </c>
      <c r="Y94" s="119" t="s">
        <v>35</v>
      </c>
      <c r="Z94" s="119" t="s">
        <v>35</v>
      </c>
      <c r="AA94" s="119" t="s">
        <v>35</v>
      </c>
      <c r="AB94" s="119" t="s">
        <v>35</v>
      </c>
      <c r="AC94" s="119" t="s">
        <v>35</v>
      </c>
      <c r="AD94" s="119" t="s">
        <v>35</v>
      </c>
      <c r="AE94" s="119" t="s">
        <v>35</v>
      </c>
      <c r="AF94" s="119" t="s">
        <v>35</v>
      </c>
      <c r="AG94" s="119" t="s">
        <v>35</v>
      </c>
      <c r="AH94" s="119" t="s">
        <v>35</v>
      </c>
      <c r="AI94" s="119" t="s">
        <v>35</v>
      </c>
      <c r="AJ94" s="119" t="s">
        <v>35</v>
      </c>
    </row>
    <row r="95" spans="1:36" ht="18.75" customHeight="1" x14ac:dyDescent="0.25">
      <c r="A95" s="117" t="s">
        <v>107</v>
      </c>
      <c r="B95" s="119" t="s">
        <v>106</v>
      </c>
      <c r="C95" s="119" t="s">
        <v>105</v>
      </c>
      <c r="D95" s="119" t="s">
        <v>3864</v>
      </c>
      <c r="E95" s="119" t="s">
        <v>2977</v>
      </c>
      <c r="F95" s="119" t="s">
        <v>3423</v>
      </c>
      <c r="G95" s="119" t="s">
        <v>3266</v>
      </c>
      <c r="H95" s="119" t="s">
        <v>3865</v>
      </c>
      <c r="I95" s="119">
        <v>850</v>
      </c>
      <c r="J95" s="120" t="s">
        <v>3363</v>
      </c>
      <c r="K95" s="120" t="s">
        <v>35</v>
      </c>
      <c r="L95" s="119" t="s">
        <v>3832</v>
      </c>
      <c r="M95" s="119" t="s">
        <v>3833</v>
      </c>
      <c r="N95" s="119" t="s">
        <v>3834</v>
      </c>
      <c r="O95" s="119" t="s">
        <v>35</v>
      </c>
      <c r="P95" s="119" t="s">
        <v>3835</v>
      </c>
      <c r="Q95" s="119" t="s">
        <v>3866</v>
      </c>
      <c r="R95" s="119" t="s">
        <v>7</v>
      </c>
      <c r="S95" s="119" t="s">
        <v>3024</v>
      </c>
      <c r="T95" s="119" t="s">
        <v>35</v>
      </c>
      <c r="U95" s="119" t="s">
        <v>35</v>
      </c>
      <c r="V95" s="119" t="s">
        <v>35</v>
      </c>
      <c r="W95" s="119" t="s">
        <v>35</v>
      </c>
      <c r="X95" s="119" t="s">
        <v>35</v>
      </c>
      <c r="Y95" s="119" t="s">
        <v>35</v>
      </c>
      <c r="Z95" s="119" t="s">
        <v>35</v>
      </c>
      <c r="AA95" s="119" t="s">
        <v>35</v>
      </c>
      <c r="AB95" s="119" t="s">
        <v>35</v>
      </c>
      <c r="AC95" s="119" t="s">
        <v>35</v>
      </c>
      <c r="AD95" s="119" t="s">
        <v>35</v>
      </c>
      <c r="AE95" s="119" t="s">
        <v>35</v>
      </c>
      <c r="AF95" s="119" t="s">
        <v>35</v>
      </c>
      <c r="AG95" s="119" t="s">
        <v>35</v>
      </c>
      <c r="AH95" s="119" t="s">
        <v>35</v>
      </c>
      <c r="AI95" s="119" t="s">
        <v>35</v>
      </c>
      <c r="AJ95" s="119" t="s">
        <v>35</v>
      </c>
    </row>
    <row r="96" spans="1:36" ht="18.75" customHeight="1" x14ac:dyDescent="0.25">
      <c r="A96" s="117" t="s">
        <v>107</v>
      </c>
      <c r="B96" s="119" t="s">
        <v>106</v>
      </c>
      <c r="C96" s="119" t="s">
        <v>105</v>
      </c>
      <c r="D96" s="119" t="s">
        <v>3867</v>
      </c>
      <c r="E96" s="119" t="s">
        <v>2977</v>
      </c>
      <c r="F96" s="119" t="s">
        <v>3868</v>
      </c>
      <c r="G96" s="119" t="s">
        <v>3266</v>
      </c>
      <c r="H96" s="119" t="s">
        <v>3869</v>
      </c>
      <c r="I96" s="119">
        <v>833</v>
      </c>
      <c r="J96" s="120" t="s">
        <v>3363</v>
      </c>
      <c r="K96" s="120" t="s">
        <v>35</v>
      </c>
      <c r="L96" s="119" t="s">
        <v>3832</v>
      </c>
      <c r="M96" s="119" t="s">
        <v>3833</v>
      </c>
      <c r="N96" s="119" t="s">
        <v>3834</v>
      </c>
      <c r="O96" s="119" t="s">
        <v>35</v>
      </c>
      <c r="P96" s="119" t="s">
        <v>3862</v>
      </c>
      <c r="Q96" s="119" t="s">
        <v>3863</v>
      </c>
      <c r="R96" s="119" t="s">
        <v>7</v>
      </c>
      <c r="S96" s="119" t="s">
        <v>3024</v>
      </c>
      <c r="T96" s="119" t="s">
        <v>35</v>
      </c>
      <c r="U96" s="119" t="s">
        <v>35</v>
      </c>
      <c r="V96" s="119" t="s">
        <v>35</v>
      </c>
      <c r="W96" s="119" t="s">
        <v>35</v>
      </c>
      <c r="X96" s="119" t="s">
        <v>35</v>
      </c>
      <c r="Y96" s="119" t="s">
        <v>35</v>
      </c>
      <c r="Z96" s="119" t="s">
        <v>35</v>
      </c>
      <c r="AA96" s="119" t="s">
        <v>35</v>
      </c>
      <c r="AB96" s="119" t="s">
        <v>35</v>
      </c>
      <c r="AC96" s="119" t="s">
        <v>35</v>
      </c>
      <c r="AD96" s="119" t="s">
        <v>35</v>
      </c>
      <c r="AE96" s="119" t="s">
        <v>35</v>
      </c>
      <c r="AF96" s="119" t="s">
        <v>35</v>
      </c>
      <c r="AG96" s="119" t="s">
        <v>35</v>
      </c>
      <c r="AH96" s="119" t="s">
        <v>35</v>
      </c>
      <c r="AI96" s="119" t="s">
        <v>35</v>
      </c>
      <c r="AJ96" s="119" t="s">
        <v>35</v>
      </c>
    </row>
    <row r="97" spans="1:36" ht="18.75" customHeight="1" x14ac:dyDescent="0.25">
      <c r="A97" s="117" t="s">
        <v>107</v>
      </c>
      <c r="B97" s="119" t="s">
        <v>106</v>
      </c>
      <c r="C97" s="119" t="s">
        <v>105</v>
      </c>
      <c r="D97" s="119" t="s">
        <v>3870</v>
      </c>
      <c r="E97" s="119" t="s">
        <v>2977</v>
      </c>
      <c r="F97" s="119" t="s">
        <v>3871</v>
      </c>
      <c r="G97" s="119" t="s">
        <v>3266</v>
      </c>
      <c r="H97" s="119" t="s">
        <v>3872</v>
      </c>
      <c r="I97" s="119">
        <v>721</v>
      </c>
      <c r="J97" s="120" t="s">
        <v>3873</v>
      </c>
      <c r="K97" s="120" t="s">
        <v>35</v>
      </c>
      <c r="L97" s="119" t="s">
        <v>3832</v>
      </c>
      <c r="M97" s="119" t="s">
        <v>3874</v>
      </c>
      <c r="N97" s="119" t="s">
        <v>3875</v>
      </c>
      <c r="O97" s="119" t="s">
        <v>35</v>
      </c>
      <c r="P97" s="119" t="s">
        <v>3566</v>
      </c>
      <c r="Q97" s="119" t="s">
        <v>3876</v>
      </c>
      <c r="R97" s="119" t="s">
        <v>7</v>
      </c>
      <c r="S97" s="119" t="s">
        <v>3024</v>
      </c>
      <c r="T97" s="119" t="s">
        <v>35</v>
      </c>
      <c r="U97" s="119" t="s">
        <v>35</v>
      </c>
      <c r="V97" s="119" t="s">
        <v>35</v>
      </c>
      <c r="W97" s="119" t="s">
        <v>35</v>
      </c>
      <c r="X97" s="119" t="s">
        <v>35</v>
      </c>
      <c r="Y97" s="119" t="s">
        <v>35</v>
      </c>
      <c r="Z97" s="119" t="s">
        <v>35</v>
      </c>
      <c r="AA97" s="119" t="s">
        <v>35</v>
      </c>
      <c r="AB97" s="119" t="s">
        <v>35</v>
      </c>
      <c r="AC97" s="119" t="s">
        <v>35</v>
      </c>
      <c r="AD97" s="119" t="s">
        <v>35</v>
      </c>
      <c r="AE97" s="119" t="s">
        <v>35</v>
      </c>
      <c r="AF97" s="119" t="s">
        <v>35</v>
      </c>
      <c r="AG97" s="119" t="s">
        <v>35</v>
      </c>
      <c r="AH97" s="119" t="s">
        <v>35</v>
      </c>
      <c r="AI97" s="119" t="s">
        <v>35</v>
      </c>
      <c r="AJ97" s="119" t="s">
        <v>35</v>
      </c>
    </row>
    <row r="98" spans="1:36" ht="18.75" customHeight="1" x14ac:dyDescent="0.25">
      <c r="A98" s="117" t="s">
        <v>107</v>
      </c>
      <c r="B98" s="119" t="s">
        <v>106</v>
      </c>
      <c r="C98" s="119" t="s">
        <v>105</v>
      </c>
      <c r="D98" s="119" t="s">
        <v>3877</v>
      </c>
      <c r="E98" s="119" t="s">
        <v>2977</v>
      </c>
      <c r="F98" s="119" t="s">
        <v>312</v>
      </c>
      <c r="G98" s="119" t="s">
        <v>312</v>
      </c>
      <c r="H98" s="119" t="s">
        <v>3878</v>
      </c>
      <c r="I98" s="119">
        <v>213</v>
      </c>
      <c r="J98" s="120" t="s">
        <v>3013</v>
      </c>
      <c r="K98" s="120" t="s">
        <v>35</v>
      </c>
      <c r="L98" s="119" t="s">
        <v>3832</v>
      </c>
      <c r="M98" s="119" t="s">
        <v>3879</v>
      </c>
      <c r="N98" s="119" t="s">
        <v>3880</v>
      </c>
      <c r="O98" s="119" t="s">
        <v>35</v>
      </c>
      <c r="P98" s="119" t="s">
        <v>3881</v>
      </c>
      <c r="Q98" s="119" t="s">
        <v>3359</v>
      </c>
      <c r="R98" s="119" t="s">
        <v>7</v>
      </c>
      <c r="S98" s="119" t="s">
        <v>35</v>
      </c>
      <c r="T98" s="119" t="s">
        <v>35</v>
      </c>
      <c r="U98" s="119" t="s">
        <v>35</v>
      </c>
      <c r="V98" s="119" t="s">
        <v>35</v>
      </c>
      <c r="W98" s="119" t="s">
        <v>35</v>
      </c>
      <c r="X98" s="119" t="s">
        <v>35</v>
      </c>
      <c r="Y98" s="119" t="s">
        <v>35</v>
      </c>
      <c r="Z98" s="119" t="s">
        <v>35</v>
      </c>
      <c r="AA98" s="119" t="s">
        <v>35</v>
      </c>
      <c r="AB98" s="119" t="s">
        <v>35</v>
      </c>
      <c r="AC98" s="119" t="s">
        <v>35</v>
      </c>
      <c r="AD98" s="119" t="s">
        <v>35</v>
      </c>
      <c r="AE98" s="119" t="s">
        <v>35</v>
      </c>
      <c r="AF98" s="119" t="s">
        <v>35</v>
      </c>
      <c r="AG98" s="119" t="s">
        <v>35</v>
      </c>
      <c r="AH98" s="119" t="s">
        <v>35</v>
      </c>
      <c r="AI98" s="119" t="s">
        <v>35</v>
      </c>
      <c r="AJ98" s="119" t="s">
        <v>35</v>
      </c>
    </row>
    <row r="99" spans="1:36" ht="18.75" customHeight="1" x14ac:dyDescent="0.25">
      <c r="A99" s="118" t="s">
        <v>107</v>
      </c>
      <c r="B99" s="807" t="s">
        <v>111</v>
      </c>
      <c r="C99" s="807" t="s">
        <v>110</v>
      </c>
      <c r="D99" s="807" t="s">
        <v>3830</v>
      </c>
      <c r="E99" s="807" t="s">
        <v>2977</v>
      </c>
      <c r="F99" s="807" t="s">
        <v>312</v>
      </c>
      <c r="G99" s="807" t="s">
        <v>312</v>
      </c>
      <c r="H99" s="807" t="s">
        <v>3831</v>
      </c>
      <c r="I99" s="807">
        <v>852</v>
      </c>
      <c r="J99" s="124" t="s">
        <v>3090</v>
      </c>
      <c r="K99" s="124" t="s">
        <v>35</v>
      </c>
      <c r="L99" s="807" t="s">
        <v>2980</v>
      </c>
      <c r="M99" s="807" t="s">
        <v>3882</v>
      </c>
      <c r="N99" s="807" t="s">
        <v>3883</v>
      </c>
      <c r="O99" s="807" t="s">
        <v>35</v>
      </c>
      <c r="P99" s="807" t="s">
        <v>3045</v>
      </c>
      <c r="Q99" s="807" t="s">
        <v>3884</v>
      </c>
      <c r="R99" s="807" t="s">
        <v>3788</v>
      </c>
      <c r="S99" s="807" t="s">
        <v>3024</v>
      </c>
      <c r="T99" s="807" t="s">
        <v>3885</v>
      </c>
      <c r="U99" s="807" t="s">
        <v>3095</v>
      </c>
      <c r="V99" s="807" t="s">
        <v>3886</v>
      </c>
      <c r="W99" s="807" t="s">
        <v>3887</v>
      </c>
      <c r="X99" s="807" t="s">
        <v>3888</v>
      </c>
      <c r="Y99" s="807" t="s">
        <v>3889</v>
      </c>
      <c r="Z99" s="807" t="s">
        <v>3890</v>
      </c>
      <c r="AA99" s="807" t="s">
        <v>3891</v>
      </c>
      <c r="AB99" s="807" t="s">
        <v>3892</v>
      </c>
      <c r="AC99" s="807" t="s">
        <v>3893</v>
      </c>
      <c r="AD99" s="807" t="s">
        <v>3894</v>
      </c>
      <c r="AE99" s="807" t="s">
        <v>3895</v>
      </c>
      <c r="AF99" s="807" t="s">
        <v>3896</v>
      </c>
      <c r="AG99" s="807" t="s">
        <v>3897</v>
      </c>
      <c r="AH99" s="807" t="s">
        <v>3898</v>
      </c>
      <c r="AI99" s="807" t="s">
        <v>3899</v>
      </c>
      <c r="AJ99" s="807" t="s">
        <v>3900</v>
      </c>
    </row>
    <row r="100" spans="1:36" ht="18.75" customHeight="1" x14ac:dyDescent="0.25">
      <c r="A100" s="118" t="s">
        <v>107</v>
      </c>
      <c r="B100" s="807" t="s">
        <v>111</v>
      </c>
      <c r="C100" s="807" t="s">
        <v>110</v>
      </c>
      <c r="D100" s="807" t="s">
        <v>3854</v>
      </c>
      <c r="E100" s="807" t="s">
        <v>3316</v>
      </c>
      <c r="F100" s="807" t="s">
        <v>3855</v>
      </c>
      <c r="G100" s="807" t="s">
        <v>3266</v>
      </c>
      <c r="H100" s="807" t="s">
        <v>3856</v>
      </c>
      <c r="I100" s="807">
        <v>575</v>
      </c>
      <c r="J100" s="124" t="s">
        <v>3901</v>
      </c>
      <c r="K100" s="124" t="s">
        <v>35</v>
      </c>
      <c r="L100" s="807" t="s">
        <v>3459</v>
      </c>
      <c r="M100" s="807" t="s">
        <v>3882</v>
      </c>
      <c r="N100" s="807" t="s">
        <v>3883</v>
      </c>
      <c r="O100" s="807" t="s">
        <v>35</v>
      </c>
      <c r="P100" s="807" t="s">
        <v>3902</v>
      </c>
      <c r="Q100" s="807" t="s">
        <v>3903</v>
      </c>
      <c r="R100" s="807" t="s">
        <v>3788</v>
      </c>
      <c r="S100" s="807" t="s">
        <v>3024</v>
      </c>
      <c r="T100" s="807" t="s">
        <v>35</v>
      </c>
      <c r="U100" s="807" t="s">
        <v>35</v>
      </c>
      <c r="V100" s="807" t="s">
        <v>35</v>
      </c>
      <c r="W100" s="807" t="s">
        <v>35</v>
      </c>
      <c r="X100" s="807" t="s">
        <v>35</v>
      </c>
      <c r="Y100" s="807" t="s">
        <v>35</v>
      </c>
      <c r="Z100" s="807" t="s">
        <v>35</v>
      </c>
      <c r="AA100" s="807" t="s">
        <v>35</v>
      </c>
      <c r="AB100" s="807" t="s">
        <v>35</v>
      </c>
      <c r="AC100" s="807" t="s">
        <v>35</v>
      </c>
      <c r="AD100" s="807" t="s">
        <v>35</v>
      </c>
      <c r="AE100" s="807" t="s">
        <v>35</v>
      </c>
      <c r="AF100" s="807" t="s">
        <v>35</v>
      </c>
      <c r="AG100" s="807" t="s">
        <v>35</v>
      </c>
      <c r="AH100" s="807" t="s">
        <v>35</v>
      </c>
      <c r="AI100" s="807" t="s">
        <v>35</v>
      </c>
      <c r="AJ100" s="807" t="s">
        <v>35</v>
      </c>
    </row>
    <row r="101" spans="1:36" ht="18.75" customHeight="1" x14ac:dyDescent="0.25">
      <c r="A101" s="118" t="s">
        <v>107</v>
      </c>
      <c r="B101" s="807" t="s">
        <v>111</v>
      </c>
      <c r="C101" s="807" t="s">
        <v>110</v>
      </c>
      <c r="D101" s="807" t="s">
        <v>3860</v>
      </c>
      <c r="E101" s="807" t="s">
        <v>2977</v>
      </c>
      <c r="F101" s="807" t="s">
        <v>3700</v>
      </c>
      <c r="G101" s="807" t="s">
        <v>3266</v>
      </c>
      <c r="H101" s="807" t="s">
        <v>3861</v>
      </c>
      <c r="I101" s="807">
        <v>831</v>
      </c>
      <c r="J101" s="124" t="s">
        <v>3090</v>
      </c>
      <c r="K101" s="124" t="s">
        <v>35</v>
      </c>
      <c r="L101" s="807" t="s">
        <v>2980</v>
      </c>
      <c r="M101" s="807" t="s">
        <v>3882</v>
      </c>
      <c r="N101" s="807" t="s">
        <v>3883</v>
      </c>
      <c r="O101" s="807" t="s">
        <v>35</v>
      </c>
      <c r="P101" s="807" t="s">
        <v>3606</v>
      </c>
      <c r="Q101" s="807" t="s">
        <v>3904</v>
      </c>
      <c r="R101" s="807" t="s">
        <v>3788</v>
      </c>
      <c r="S101" s="807" t="s">
        <v>3024</v>
      </c>
      <c r="T101" s="807" t="s">
        <v>35</v>
      </c>
      <c r="U101" s="807" t="s">
        <v>35</v>
      </c>
      <c r="V101" s="807" t="s">
        <v>35</v>
      </c>
      <c r="W101" s="807" t="s">
        <v>35</v>
      </c>
      <c r="X101" s="807" t="s">
        <v>35</v>
      </c>
      <c r="Y101" s="807" t="s">
        <v>35</v>
      </c>
      <c r="Z101" s="807" t="s">
        <v>35</v>
      </c>
      <c r="AA101" s="807" t="s">
        <v>35</v>
      </c>
      <c r="AB101" s="807" t="s">
        <v>35</v>
      </c>
      <c r="AC101" s="807" t="s">
        <v>35</v>
      </c>
      <c r="AD101" s="807" t="s">
        <v>35</v>
      </c>
      <c r="AE101" s="807" t="s">
        <v>35</v>
      </c>
      <c r="AF101" s="807" t="s">
        <v>35</v>
      </c>
      <c r="AG101" s="807" t="s">
        <v>35</v>
      </c>
      <c r="AH101" s="807" t="s">
        <v>35</v>
      </c>
      <c r="AI101" s="807" t="s">
        <v>35</v>
      </c>
      <c r="AJ101" s="807" t="s">
        <v>35</v>
      </c>
    </row>
    <row r="102" spans="1:36" ht="18.75" customHeight="1" x14ac:dyDescent="0.25">
      <c r="A102" s="118" t="s">
        <v>107</v>
      </c>
      <c r="B102" s="807" t="s">
        <v>111</v>
      </c>
      <c r="C102" s="807" t="s">
        <v>110</v>
      </c>
      <c r="D102" s="807" t="s">
        <v>3864</v>
      </c>
      <c r="E102" s="807" t="s">
        <v>2977</v>
      </c>
      <c r="F102" s="807" t="s">
        <v>3423</v>
      </c>
      <c r="G102" s="807" t="s">
        <v>3266</v>
      </c>
      <c r="H102" s="807" t="s">
        <v>3865</v>
      </c>
      <c r="I102" s="807">
        <v>850</v>
      </c>
      <c r="J102" s="124" t="s">
        <v>3090</v>
      </c>
      <c r="K102" s="124" t="s">
        <v>35</v>
      </c>
      <c r="L102" s="807" t="s">
        <v>2980</v>
      </c>
      <c r="M102" s="807" t="s">
        <v>3882</v>
      </c>
      <c r="N102" s="807" t="s">
        <v>3883</v>
      </c>
      <c r="O102" s="807" t="s">
        <v>35</v>
      </c>
      <c r="P102" s="807" t="s">
        <v>3606</v>
      </c>
      <c r="Q102" s="807" t="s">
        <v>3905</v>
      </c>
      <c r="R102" s="807" t="s">
        <v>3788</v>
      </c>
      <c r="S102" s="807" t="s">
        <v>3024</v>
      </c>
      <c r="T102" s="807" t="s">
        <v>35</v>
      </c>
      <c r="U102" s="807" t="s">
        <v>35</v>
      </c>
      <c r="V102" s="807" t="s">
        <v>35</v>
      </c>
      <c r="W102" s="807" t="s">
        <v>35</v>
      </c>
      <c r="X102" s="807" t="s">
        <v>35</v>
      </c>
      <c r="Y102" s="807" t="s">
        <v>35</v>
      </c>
      <c r="Z102" s="807" t="s">
        <v>35</v>
      </c>
      <c r="AA102" s="807" t="s">
        <v>35</v>
      </c>
      <c r="AB102" s="807" t="s">
        <v>35</v>
      </c>
      <c r="AC102" s="807" t="s">
        <v>35</v>
      </c>
      <c r="AD102" s="807" t="s">
        <v>35</v>
      </c>
      <c r="AE102" s="807" t="s">
        <v>35</v>
      </c>
      <c r="AF102" s="807" t="s">
        <v>35</v>
      </c>
      <c r="AG102" s="807" t="s">
        <v>35</v>
      </c>
      <c r="AH102" s="807" t="s">
        <v>35</v>
      </c>
      <c r="AI102" s="807" t="s">
        <v>35</v>
      </c>
      <c r="AJ102" s="807" t="s">
        <v>35</v>
      </c>
    </row>
    <row r="103" spans="1:36" ht="18.75" customHeight="1" x14ac:dyDescent="0.25">
      <c r="A103" s="118" t="s">
        <v>107</v>
      </c>
      <c r="B103" s="807" t="s">
        <v>111</v>
      </c>
      <c r="C103" s="807" t="s">
        <v>110</v>
      </c>
      <c r="D103" s="807" t="s">
        <v>3867</v>
      </c>
      <c r="E103" s="807" t="s">
        <v>2977</v>
      </c>
      <c r="F103" s="807" t="s">
        <v>3868</v>
      </c>
      <c r="G103" s="807" t="s">
        <v>3266</v>
      </c>
      <c r="H103" s="807" t="s">
        <v>3869</v>
      </c>
      <c r="I103" s="807">
        <v>833</v>
      </c>
      <c r="J103" s="124" t="s">
        <v>3090</v>
      </c>
      <c r="K103" s="124" t="s">
        <v>35</v>
      </c>
      <c r="L103" s="807" t="s">
        <v>2980</v>
      </c>
      <c r="M103" s="807" t="s">
        <v>3882</v>
      </c>
      <c r="N103" s="807" t="s">
        <v>3883</v>
      </c>
      <c r="O103" s="807" t="s">
        <v>35</v>
      </c>
      <c r="P103" s="807" t="s">
        <v>3606</v>
      </c>
      <c r="Q103" s="807" t="s">
        <v>3906</v>
      </c>
      <c r="R103" s="807" t="s">
        <v>3788</v>
      </c>
      <c r="S103" s="807" t="s">
        <v>3024</v>
      </c>
      <c r="T103" s="807" t="s">
        <v>35</v>
      </c>
      <c r="U103" s="807" t="s">
        <v>35</v>
      </c>
      <c r="V103" s="807" t="s">
        <v>35</v>
      </c>
      <c r="W103" s="807" t="s">
        <v>35</v>
      </c>
      <c r="X103" s="807" t="s">
        <v>35</v>
      </c>
      <c r="Y103" s="807" t="s">
        <v>35</v>
      </c>
      <c r="Z103" s="807" t="s">
        <v>35</v>
      </c>
      <c r="AA103" s="807" t="s">
        <v>35</v>
      </c>
      <c r="AB103" s="807" t="s">
        <v>35</v>
      </c>
      <c r="AC103" s="807" t="s">
        <v>35</v>
      </c>
      <c r="AD103" s="807" t="s">
        <v>35</v>
      </c>
      <c r="AE103" s="807" t="s">
        <v>35</v>
      </c>
      <c r="AF103" s="807" t="s">
        <v>35</v>
      </c>
      <c r="AG103" s="807" t="s">
        <v>35</v>
      </c>
      <c r="AH103" s="807" t="s">
        <v>35</v>
      </c>
      <c r="AI103" s="807" t="s">
        <v>35</v>
      </c>
      <c r="AJ103" s="807" t="s">
        <v>35</v>
      </c>
    </row>
    <row r="104" spans="1:36" ht="18.75" customHeight="1" x14ac:dyDescent="0.25">
      <c r="A104" s="118" t="s">
        <v>107</v>
      </c>
      <c r="B104" s="807" t="s">
        <v>111</v>
      </c>
      <c r="C104" s="807" t="s">
        <v>110</v>
      </c>
      <c r="D104" s="807" t="s">
        <v>3870</v>
      </c>
      <c r="E104" s="807" t="s">
        <v>2977</v>
      </c>
      <c r="F104" s="807" t="s">
        <v>3871</v>
      </c>
      <c r="G104" s="807" t="s">
        <v>3266</v>
      </c>
      <c r="H104" s="807" t="s">
        <v>3872</v>
      </c>
      <c r="I104" s="807">
        <v>721</v>
      </c>
      <c r="J104" s="124" t="s">
        <v>35</v>
      </c>
      <c r="K104" s="124" t="s">
        <v>3907</v>
      </c>
      <c r="L104" s="807" t="s">
        <v>3172</v>
      </c>
      <c r="M104" s="807" t="s">
        <v>3908</v>
      </c>
      <c r="N104" s="807" t="s">
        <v>35</v>
      </c>
      <c r="O104" s="807" t="s">
        <v>35</v>
      </c>
      <c r="P104" s="807" t="s">
        <v>35</v>
      </c>
      <c r="Q104" s="807" t="s">
        <v>35</v>
      </c>
      <c r="R104" s="807" t="s">
        <v>35</v>
      </c>
      <c r="S104" s="807" t="s">
        <v>35</v>
      </c>
      <c r="T104" s="807" t="s">
        <v>35</v>
      </c>
      <c r="U104" s="807" t="s">
        <v>35</v>
      </c>
      <c r="V104" s="807" t="s">
        <v>35</v>
      </c>
      <c r="W104" s="807" t="s">
        <v>35</v>
      </c>
      <c r="X104" s="807" t="s">
        <v>35</v>
      </c>
      <c r="Y104" s="807" t="s">
        <v>35</v>
      </c>
      <c r="Z104" s="807" t="s">
        <v>35</v>
      </c>
      <c r="AA104" s="807" t="s">
        <v>35</v>
      </c>
      <c r="AB104" s="807" t="s">
        <v>35</v>
      </c>
      <c r="AC104" s="807" t="s">
        <v>35</v>
      </c>
      <c r="AD104" s="807" t="s">
        <v>35</v>
      </c>
      <c r="AE104" s="807" t="s">
        <v>35</v>
      </c>
      <c r="AF104" s="807" t="s">
        <v>35</v>
      </c>
      <c r="AG104" s="807" t="s">
        <v>35</v>
      </c>
      <c r="AH104" s="807" t="s">
        <v>35</v>
      </c>
      <c r="AI104" s="807" t="s">
        <v>35</v>
      </c>
      <c r="AJ104" s="807" t="s">
        <v>35</v>
      </c>
    </row>
    <row r="105" spans="1:36" ht="18.75" customHeight="1" x14ac:dyDescent="0.25">
      <c r="A105" s="118" t="s">
        <v>107</v>
      </c>
      <c r="B105" s="807" t="s">
        <v>111</v>
      </c>
      <c r="C105" s="807" t="s">
        <v>110</v>
      </c>
      <c r="D105" s="807" t="s">
        <v>3877</v>
      </c>
      <c r="E105" s="807" t="s">
        <v>2977</v>
      </c>
      <c r="F105" s="807" t="s">
        <v>312</v>
      </c>
      <c r="G105" s="807" t="s">
        <v>312</v>
      </c>
      <c r="H105" s="807" t="s">
        <v>3878</v>
      </c>
      <c r="I105" s="807">
        <v>213</v>
      </c>
      <c r="J105" s="124" t="s">
        <v>35</v>
      </c>
      <c r="K105" s="124" t="s">
        <v>3086</v>
      </c>
      <c r="L105" s="807" t="s">
        <v>3172</v>
      </c>
      <c r="M105" s="807" t="s">
        <v>3909</v>
      </c>
      <c r="N105" s="807" t="s">
        <v>35</v>
      </c>
      <c r="O105" s="807" t="s">
        <v>35</v>
      </c>
      <c r="P105" s="807" t="s">
        <v>35</v>
      </c>
      <c r="Q105" s="807" t="s">
        <v>35</v>
      </c>
      <c r="R105" s="807" t="s">
        <v>35</v>
      </c>
      <c r="S105" s="807" t="s">
        <v>35</v>
      </c>
      <c r="T105" s="807" t="s">
        <v>35</v>
      </c>
      <c r="U105" s="807" t="s">
        <v>35</v>
      </c>
      <c r="V105" s="807" t="s">
        <v>35</v>
      </c>
      <c r="W105" s="807" t="s">
        <v>35</v>
      </c>
      <c r="X105" s="807" t="s">
        <v>35</v>
      </c>
      <c r="Y105" s="807" t="s">
        <v>35</v>
      </c>
      <c r="Z105" s="807" t="s">
        <v>35</v>
      </c>
      <c r="AA105" s="807" t="s">
        <v>35</v>
      </c>
      <c r="AB105" s="807" t="s">
        <v>35</v>
      </c>
      <c r="AC105" s="807" t="s">
        <v>35</v>
      </c>
      <c r="AD105" s="807" t="s">
        <v>35</v>
      </c>
      <c r="AE105" s="807" t="s">
        <v>35</v>
      </c>
      <c r="AF105" s="807" t="s">
        <v>35</v>
      </c>
      <c r="AG105" s="807" t="s">
        <v>35</v>
      </c>
      <c r="AH105" s="807" t="s">
        <v>35</v>
      </c>
      <c r="AI105" s="807" t="s">
        <v>35</v>
      </c>
      <c r="AJ105" s="807" t="s">
        <v>35</v>
      </c>
    </row>
    <row r="106" spans="1:36" ht="18.75" customHeight="1" x14ac:dyDescent="0.25">
      <c r="A106" s="118" t="s">
        <v>107</v>
      </c>
      <c r="B106" s="807" t="s">
        <v>111</v>
      </c>
      <c r="C106" s="807" t="s">
        <v>110</v>
      </c>
      <c r="D106" s="807" t="s">
        <v>3910</v>
      </c>
      <c r="E106" s="807" t="s">
        <v>2977</v>
      </c>
      <c r="F106" s="807" t="s">
        <v>3911</v>
      </c>
      <c r="G106" s="807" t="s">
        <v>3266</v>
      </c>
      <c r="H106" s="807" t="s">
        <v>3912</v>
      </c>
      <c r="I106" s="124">
        <v>235</v>
      </c>
      <c r="J106" s="124" t="s">
        <v>3278</v>
      </c>
      <c r="K106" s="124" t="s">
        <v>35</v>
      </c>
      <c r="L106" s="807" t="s">
        <v>2980</v>
      </c>
      <c r="M106" s="807" t="s">
        <v>3913</v>
      </c>
      <c r="N106" s="807" t="s">
        <v>3914</v>
      </c>
      <c r="O106" s="807" t="s">
        <v>35</v>
      </c>
      <c r="P106" s="807" t="s">
        <v>3915</v>
      </c>
      <c r="Q106" s="807" t="s">
        <v>3916</v>
      </c>
      <c r="R106" s="807" t="s">
        <v>3788</v>
      </c>
      <c r="S106" s="807" t="s">
        <v>35</v>
      </c>
      <c r="T106" s="807" t="s">
        <v>35</v>
      </c>
      <c r="U106" s="807" t="s">
        <v>35</v>
      </c>
      <c r="V106" s="807" t="s">
        <v>35</v>
      </c>
      <c r="W106" s="807" t="s">
        <v>35</v>
      </c>
      <c r="X106" s="807" t="s">
        <v>35</v>
      </c>
      <c r="Y106" s="807" t="s">
        <v>35</v>
      </c>
      <c r="Z106" s="807" t="s">
        <v>35</v>
      </c>
      <c r="AA106" s="807" t="s">
        <v>35</v>
      </c>
      <c r="AB106" s="807" t="s">
        <v>35</v>
      </c>
      <c r="AC106" s="807" t="s">
        <v>35</v>
      </c>
      <c r="AD106" s="807" t="s">
        <v>35</v>
      </c>
      <c r="AE106" s="807" t="s">
        <v>35</v>
      </c>
      <c r="AF106" s="807" t="s">
        <v>35</v>
      </c>
      <c r="AG106" s="807" t="s">
        <v>35</v>
      </c>
      <c r="AH106" s="807" t="s">
        <v>35</v>
      </c>
      <c r="AI106" s="807" t="s">
        <v>35</v>
      </c>
      <c r="AJ106" s="807" t="s">
        <v>35</v>
      </c>
    </row>
    <row r="107" spans="1:36" ht="18.75" customHeight="1" x14ac:dyDescent="0.25">
      <c r="A107" s="117" t="s">
        <v>115</v>
      </c>
      <c r="B107" s="119" t="s">
        <v>114</v>
      </c>
      <c r="C107" s="119" t="s">
        <v>113</v>
      </c>
      <c r="D107" s="119" t="s">
        <v>3917</v>
      </c>
      <c r="E107" s="119" t="s">
        <v>2977</v>
      </c>
      <c r="F107" s="119">
        <v>0</v>
      </c>
      <c r="G107" s="119" t="s">
        <v>35</v>
      </c>
      <c r="H107" s="119" t="s">
        <v>3918</v>
      </c>
      <c r="I107" s="119">
        <v>1994</v>
      </c>
      <c r="J107" s="120" t="s">
        <v>3919</v>
      </c>
      <c r="K107" s="120" t="s">
        <v>35</v>
      </c>
      <c r="L107" s="119" t="s">
        <v>2980</v>
      </c>
      <c r="M107" s="119" t="s">
        <v>3920</v>
      </c>
      <c r="N107" s="119" t="s">
        <v>3921</v>
      </c>
      <c r="O107" s="119" t="s">
        <v>35</v>
      </c>
      <c r="P107" s="119" t="s">
        <v>3922</v>
      </c>
      <c r="Q107" s="119" t="s">
        <v>3923</v>
      </c>
      <c r="R107" s="119" t="s">
        <v>7</v>
      </c>
      <c r="S107" s="119" t="s">
        <v>3024</v>
      </c>
      <c r="T107" s="119" t="s">
        <v>3924</v>
      </c>
      <c r="U107" s="119" t="s">
        <v>3925</v>
      </c>
      <c r="V107" s="119" t="s">
        <v>3926</v>
      </c>
      <c r="W107" s="119" t="s">
        <v>3927</v>
      </c>
      <c r="X107" s="119" t="s">
        <v>3928</v>
      </c>
      <c r="Y107" s="119" t="s">
        <v>3929</v>
      </c>
      <c r="Z107" s="119" t="s">
        <v>3930</v>
      </c>
      <c r="AA107" s="119" t="s">
        <v>3931</v>
      </c>
      <c r="AB107" s="119" t="s">
        <v>3932</v>
      </c>
      <c r="AC107" s="119" t="s">
        <v>3933</v>
      </c>
      <c r="AD107" s="119" t="s">
        <v>3934</v>
      </c>
      <c r="AE107" s="119" t="s">
        <v>3778</v>
      </c>
      <c r="AF107" s="119" t="s">
        <v>3778</v>
      </c>
      <c r="AG107" s="119" t="s">
        <v>3778</v>
      </c>
      <c r="AH107" s="119" t="s">
        <v>3935</v>
      </c>
      <c r="AI107" s="119" t="s">
        <v>3778</v>
      </c>
      <c r="AJ107" s="119" t="s">
        <v>3778</v>
      </c>
    </row>
    <row r="108" spans="1:36" ht="18.75" customHeight="1" x14ac:dyDescent="0.25">
      <c r="A108" s="117" t="s">
        <v>115</v>
      </c>
      <c r="B108" s="119" t="s">
        <v>114</v>
      </c>
      <c r="C108" s="119" t="s">
        <v>113</v>
      </c>
      <c r="D108" s="119" t="s">
        <v>3936</v>
      </c>
      <c r="E108" s="119" t="s">
        <v>2977</v>
      </c>
      <c r="F108" s="119" t="s">
        <v>3937</v>
      </c>
      <c r="G108" s="119" t="s">
        <v>3330</v>
      </c>
      <c r="H108" s="119" t="s">
        <v>3938</v>
      </c>
      <c r="I108" s="119">
        <v>2302</v>
      </c>
      <c r="J108" s="120" t="s">
        <v>3939</v>
      </c>
      <c r="K108" s="120" t="s">
        <v>35</v>
      </c>
      <c r="L108" s="119" t="s">
        <v>2980</v>
      </c>
      <c r="M108" s="119" t="s">
        <v>3940</v>
      </c>
      <c r="N108" s="119" t="s">
        <v>3941</v>
      </c>
      <c r="O108" s="119" t="s">
        <v>35</v>
      </c>
      <c r="P108" s="119" t="s">
        <v>3665</v>
      </c>
      <c r="Q108" s="119" t="s">
        <v>3324</v>
      </c>
      <c r="R108" s="119" t="s">
        <v>7</v>
      </c>
      <c r="S108" s="119" t="s">
        <v>3024</v>
      </c>
      <c r="T108" s="119" t="s">
        <v>35</v>
      </c>
      <c r="U108" s="119" t="s">
        <v>35</v>
      </c>
      <c r="V108" s="119" t="s">
        <v>35</v>
      </c>
      <c r="W108" s="119" t="s">
        <v>35</v>
      </c>
      <c r="X108" s="119" t="s">
        <v>35</v>
      </c>
      <c r="Y108" s="119" t="s">
        <v>35</v>
      </c>
      <c r="Z108" s="119" t="s">
        <v>35</v>
      </c>
      <c r="AA108" s="119" t="s">
        <v>35</v>
      </c>
      <c r="AB108" s="119" t="s">
        <v>35</v>
      </c>
      <c r="AC108" s="119" t="s">
        <v>35</v>
      </c>
      <c r="AD108" s="119" t="s">
        <v>35</v>
      </c>
      <c r="AE108" s="119" t="s">
        <v>35</v>
      </c>
      <c r="AF108" s="119" t="s">
        <v>35</v>
      </c>
      <c r="AG108" s="119" t="s">
        <v>35</v>
      </c>
      <c r="AH108" s="119" t="s">
        <v>35</v>
      </c>
      <c r="AI108" s="119" t="s">
        <v>35</v>
      </c>
      <c r="AJ108" s="119" t="s">
        <v>35</v>
      </c>
    </row>
    <row r="109" spans="1:36" ht="18.75" customHeight="1" x14ac:dyDescent="0.25">
      <c r="A109" s="117" t="s">
        <v>115</v>
      </c>
      <c r="B109" s="119" t="s">
        <v>114</v>
      </c>
      <c r="C109" s="119" t="s">
        <v>113</v>
      </c>
      <c r="D109" s="119" t="s">
        <v>3942</v>
      </c>
      <c r="E109" s="119" t="s">
        <v>2977</v>
      </c>
      <c r="F109" s="119" t="s">
        <v>3943</v>
      </c>
      <c r="G109" s="119" t="s">
        <v>3944</v>
      </c>
      <c r="H109" s="119" t="s">
        <v>3945</v>
      </c>
      <c r="I109" s="119">
        <v>1994</v>
      </c>
      <c r="J109" s="120" t="s">
        <v>3939</v>
      </c>
      <c r="K109" s="120" t="s">
        <v>35</v>
      </c>
      <c r="L109" s="119" t="s">
        <v>2980</v>
      </c>
      <c r="M109" s="119" t="s">
        <v>3920</v>
      </c>
      <c r="N109" s="119" t="s">
        <v>3921</v>
      </c>
      <c r="O109" s="119" t="s">
        <v>35</v>
      </c>
      <c r="P109" s="119" t="s">
        <v>3922</v>
      </c>
      <c r="Q109" s="119" t="s">
        <v>3923</v>
      </c>
      <c r="R109" s="119" t="s">
        <v>7</v>
      </c>
      <c r="S109" s="119" t="s">
        <v>3024</v>
      </c>
      <c r="T109" s="119" t="s">
        <v>35</v>
      </c>
      <c r="U109" s="119" t="s">
        <v>35</v>
      </c>
      <c r="V109" s="119" t="s">
        <v>35</v>
      </c>
      <c r="W109" s="119" t="s">
        <v>35</v>
      </c>
      <c r="X109" s="119" t="s">
        <v>35</v>
      </c>
      <c r="Y109" s="119" t="s">
        <v>35</v>
      </c>
      <c r="Z109" s="119" t="s">
        <v>35</v>
      </c>
      <c r="AA109" s="119" t="s">
        <v>35</v>
      </c>
      <c r="AB109" s="119" t="s">
        <v>35</v>
      </c>
      <c r="AC109" s="119" t="s">
        <v>35</v>
      </c>
      <c r="AD109" s="119" t="s">
        <v>35</v>
      </c>
      <c r="AE109" s="119" t="s">
        <v>35</v>
      </c>
      <c r="AF109" s="119" t="s">
        <v>35</v>
      </c>
      <c r="AG109" s="119" t="s">
        <v>35</v>
      </c>
      <c r="AH109" s="119" t="s">
        <v>35</v>
      </c>
      <c r="AI109" s="119" t="s">
        <v>35</v>
      </c>
      <c r="AJ109" s="119" t="s">
        <v>35</v>
      </c>
    </row>
    <row r="110" spans="1:36" ht="18.75" customHeight="1" x14ac:dyDescent="0.25">
      <c r="A110" s="118" t="s">
        <v>120</v>
      </c>
      <c r="B110" s="807" t="s">
        <v>119</v>
      </c>
      <c r="C110" s="807" t="s">
        <v>118</v>
      </c>
      <c r="D110" s="807" t="s">
        <v>3946</v>
      </c>
      <c r="E110" s="807" t="s">
        <v>2977</v>
      </c>
      <c r="F110" s="807" t="s">
        <v>312</v>
      </c>
      <c r="G110" s="807" t="s">
        <v>312</v>
      </c>
      <c r="H110" s="807" t="s">
        <v>3947</v>
      </c>
      <c r="I110" s="807">
        <v>669</v>
      </c>
      <c r="J110" s="124" t="s">
        <v>3901</v>
      </c>
      <c r="K110" s="124" t="s">
        <v>35</v>
      </c>
      <c r="L110" s="807" t="s">
        <v>3742</v>
      </c>
      <c r="M110" s="807" t="s">
        <v>3948</v>
      </c>
      <c r="N110" s="807" t="s">
        <v>35</v>
      </c>
      <c r="O110" s="807" t="s">
        <v>35</v>
      </c>
      <c r="P110" s="807" t="s">
        <v>35</v>
      </c>
      <c r="Q110" s="807" t="s">
        <v>35</v>
      </c>
      <c r="R110" s="807" t="s">
        <v>35</v>
      </c>
      <c r="S110" s="807" t="s">
        <v>35</v>
      </c>
      <c r="T110" s="807" t="s">
        <v>3707</v>
      </c>
      <c r="U110" s="807" t="s">
        <v>3057</v>
      </c>
      <c r="V110" s="807" t="s">
        <v>3949</v>
      </c>
      <c r="W110" s="807" t="s">
        <v>3057</v>
      </c>
      <c r="X110" s="807" t="s">
        <v>3057</v>
      </c>
      <c r="Y110" s="807" t="s">
        <v>3057</v>
      </c>
      <c r="Z110" s="807" t="s">
        <v>3066</v>
      </c>
      <c r="AA110" s="807" t="s">
        <v>3950</v>
      </c>
      <c r="AB110" s="807" t="s">
        <v>3951</v>
      </c>
      <c r="AC110" s="807" t="s">
        <v>3952</v>
      </c>
      <c r="AD110" s="807" t="s">
        <v>3066</v>
      </c>
      <c r="AE110" s="807" t="s">
        <v>3953</v>
      </c>
      <c r="AF110" s="807" t="s">
        <v>3066</v>
      </c>
      <c r="AG110" s="807" t="s">
        <v>3066</v>
      </c>
      <c r="AH110" s="807" t="s">
        <v>3066</v>
      </c>
      <c r="AI110" s="807" t="s">
        <v>3066</v>
      </c>
      <c r="AJ110" s="807" t="s">
        <v>3066</v>
      </c>
    </row>
    <row r="111" spans="1:36" ht="18.75" customHeight="1" x14ac:dyDescent="0.25">
      <c r="A111" s="118" t="s">
        <v>120</v>
      </c>
      <c r="B111" s="807" t="s">
        <v>119</v>
      </c>
      <c r="C111" s="807" t="s">
        <v>118</v>
      </c>
      <c r="D111" s="807" t="s">
        <v>3954</v>
      </c>
      <c r="E111" s="807" t="s">
        <v>2977</v>
      </c>
      <c r="F111" s="807" t="s">
        <v>312</v>
      </c>
      <c r="G111" s="807" t="s">
        <v>312</v>
      </c>
      <c r="H111" s="807" t="s">
        <v>3955</v>
      </c>
      <c r="I111" s="807">
        <v>819</v>
      </c>
      <c r="J111" s="124" t="s">
        <v>3090</v>
      </c>
      <c r="K111" s="124" t="s">
        <v>35</v>
      </c>
      <c r="L111" s="807" t="s">
        <v>3742</v>
      </c>
      <c r="M111" s="807" t="s">
        <v>3956</v>
      </c>
      <c r="N111" s="807" t="s">
        <v>35</v>
      </c>
      <c r="O111" s="807" t="s">
        <v>35</v>
      </c>
      <c r="P111" s="807" t="s">
        <v>35</v>
      </c>
      <c r="Q111" s="807" t="s">
        <v>35</v>
      </c>
      <c r="R111" s="807" t="s">
        <v>35</v>
      </c>
      <c r="S111" s="807" t="s">
        <v>35</v>
      </c>
      <c r="T111" s="807" t="s">
        <v>35</v>
      </c>
      <c r="U111" s="807" t="s">
        <v>35</v>
      </c>
      <c r="V111" s="807" t="s">
        <v>35</v>
      </c>
      <c r="W111" s="807" t="s">
        <v>35</v>
      </c>
      <c r="X111" s="807" t="s">
        <v>35</v>
      </c>
      <c r="Y111" s="807" t="s">
        <v>35</v>
      </c>
      <c r="Z111" s="807" t="s">
        <v>35</v>
      </c>
      <c r="AA111" s="807" t="s">
        <v>35</v>
      </c>
      <c r="AB111" s="807" t="s">
        <v>35</v>
      </c>
      <c r="AC111" s="807" t="s">
        <v>35</v>
      </c>
      <c r="AD111" s="807" t="s">
        <v>35</v>
      </c>
      <c r="AE111" s="807" t="s">
        <v>35</v>
      </c>
      <c r="AF111" s="807" t="s">
        <v>35</v>
      </c>
      <c r="AG111" s="807" t="s">
        <v>35</v>
      </c>
      <c r="AH111" s="807" t="s">
        <v>35</v>
      </c>
      <c r="AI111" s="807" t="s">
        <v>35</v>
      </c>
      <c r="AJ111" s="807" t="s">
        <v>35</v>
      </c>
    </row>
    <row r="112" spans="1:36" ht="18.75" customHeight="1" x14ac:dyDescent="0.25">
      <c r="A112" s="118" t="s">
        <v>120</v>
      </c>
      <c r="B112" s="807" t="s">
        <v>119</v>
      </c>
      <c r="C112" s="807" t="s">
        <v>118</v>
      </c>
      <c r="D112" s="807" t="s">
        <v>3957</v>
      </c>
      <c r="E112" s="807" t="s">
        <v>2977</v>
      </c>
      <c r="F112" s="807" t="s">
        <v>312</v>
      </c>
      <c r="G112" s="807" t="s">
        <v>312</v>
      </c>
      <c r="H112" s="807" t="s">
        <v>3958</v>
      </c>
      <c r="I112" s="807">
        <v>821</v>
      </c>
      <c r="J112" s="124" t="s">
        <v>3959</v>
      </c>
      <c r="K112" s="124" t="s">
        <v>35</v>
      </c>
      <c r="L112" s="807" t="s">
        <v>3742</v>
      </c>
      <c r="M112" s="807" t="s">
        <v>3956</v>
      </c>
      <c r="N112" s="807" t="s">
        <v>35</v>
      </c>
      <c r="O112" s="807" t="s">
        <v>35</v>
      </c>
      <c r="P112" s="807" t="s">
        <v>35</v>
      </c>
      <c r="Q112" s="807" t="s">
        <v>35</v>
      </c>
      <c r="R112" s="807" t="s">
        <v>35</v>
      </c>
      <c r="S112" s="807" t="s">
        <v>35</v>
      </c>
      <c r="T112" s="807" t="s">
        <v>35</v>
      </c>
      <c r="U112" s="807" t="s">
        <v>35</v>
      </c>
      <c r="V112" s="807" t="s">
        <v>35</v>
      </c>
      <c r="W112" s="807" t="s">
        <v>35</v>
      </c>
      <c r="X112" s="807" t="s">
        <v>35</v>
      </c>
      <c r="Y112" s="807" t="s">
        <v>35</v>
      </c>
      <c r="Z112" s="807" t="s">
        <v>35</v>
      </c>
      <c r="AA112" s="807" t="s">
        <v>35</v>
      </c>
      <c r="AB112" s="807" t="s">
        <v>35</v>
      </c>
      <c r="AC112" s="807" t="s">
        <v>35</v>
      </c>
      <c r="AD112" s="807" t="s">
        <v>35</v>
      </c>
      <c r="AE112" s="807" t="s">
        <v>35</v>
      </c>
      <c r="AF112" s="807" t="s">
        <v>35</v>
      </c>
      <c r="AG112" s="807" t="s">
        <v>35</v>
      </c>
      <c r="AH112" s="807" t="s">
        <v>35</v>
      </c>
      <c r="AI112" s="807" t="s">
        <v>35</v>
      </c>
      <c r="AJ112" s="807" t="s">
        <v>35</v>
      </c>
    </row>
    <row r="113" spans="1:36" ht="18.75" customHeight="1" x14ac:dyDescent="0.25">
      <c r="A113" s="118" t="s">
        <v>120</v>
      </c>
      <c r="B113" s="807" t="s">
        <v>119</v>
      </c>
      <c r="C113" s="807" t="s">
        <v>118</v>
      </c>
      <c r="D113" s="807" t="s">
        <v>3960</v>
      </c>
      <c r="E113" s="807" t="s">
        <v>2977</v>
      </c>
      <c r="F113" s="807" t="s">
        <v>3597</v>
      </c>
      <c r="G113" s="807" t="s">
        <v>3961</v>
      </c>
      <c r="H113" s="807" t="s">
        <v>3962</v>
      </c>
      <c r="I113" s="807">
        <v>704</v>
      </c>
      <c r="J113" s="124" t="s">
        <v>3963</v>
      </c>
      <c r="K113" s="124" t="s">
        <v>35</v>
      </c>
      <c r="L113" s="807" t="s">
        <v>3742</v>
      </c>
      <c r="M113" s="807" t="s">
        <v>3964</v>
      </c>
      <c r="N113" s="807" t="s">
        <v>35</v>
      </c>
      <c r="O113" s="807" t="s">
        <v>35</v>
      </c>
      <c r="P113" s="807" t="s">
        <v>35</v>
      </c>
      <c r="Q113" s="807" t="s">
        <v>35</v>
      </c>
      <c r="R113" s="807" t="s">
        <v>35</v>
      </c>
      <c r="S113" s="807" t="s">
        <v>35</v>
      </c>
      <c r="T113" s="807" t="s">
        <v>35</v>
      </c>
      <c r="U113" s="807" t="s">
        <v>35</v>
      </c>
      <c r="V113" s="807" t="s">
        <v>35</v>
      </c>
      <c r="W113" s="807" t="s">
        <v>35</v>
      </c>
      <c r="X113" s="807" t="s">
        <v>35</v>
      </c>
      <c r="Y113" s="807" t="s">
        <v>35</v>
      </c>
      <c r="Z113" s="807" t="s">
        <v>35</v>
      </c>
      <c r="AA113" s="807" t="s">
        <v>35</v>
      </c>
      <c r="AB113" s="807" t="s">
        <v>35</v>
      </c>
      <c r="AC113" s="807" t="s">
        <v>35</v>
      </c>
      <c r="AD113" s="807" t="s">
        <v>35</v>
      </c>
      <c r="AE113" s="807" t="s">
        <v>35</v>
      </c>
      <c r="AF113" s="807" t="s">
        <v>35</v>
      </c>
      <c r="AG113" s="807" t="s">
        <v>35</v>
      </c>
      <c r="AH113" s="807" t="s">
        <v>35</v>
      </c>
      <c r="AI113" s="807" t="s">
        <v>35</v>
      </c>
      <c r="AJ113" s="807" t="s">
        <v>35</v>
      </c>
    </row>
    <row r="114" spans="1:36" ht="18.75" customHeight="1" x14ac:dyDescent="0.25">
      <c r="A114" s="118" t="s">
        <v>120</v>
      </c>
      <c r="B114" s="807" t="s">
        <v>119</v>
      </c>
      <c r="C114" s="807" t="s">
        <v>118</v>
      </c>
      <c r="D114" s="807" t="s">
        <v>3965</v>
      </c>
      <c r="E114" s="807" t="s">
        <v>2977</v>
      </c>
      <c r="F114" s="807" t="s">
        <v>3966</v>
      </c>
      <c r="G114" s="807" t="s">
        <v>3961</v>
      </c>
      <c r="H114" s="807" t="s">
        <v>3967</v>
      </c>
      <c r="I114" s="807">
        <v>707</v>
      </c>
      <c r="J114" s="124" t="s">
        <v>3090</v>
      </c>
      <c r="K114" s="124" t="s">
        <v>35</v>
      </c>
      <c r="L114" s="807" t="s">
        <v>3742</v>
      </c>
      <c r="M114" s="807" t="s">
        <v>3948</v>
      </c>
      <c r="N114" s="807" t="s">
        <v>35</v>
      </c>
      <c r="O114" s="807" t="s">
        <v>35</v>
      </c>
      <c r="P114" s="807" t="s">
        <v>35</v>
      </c>
      <c r="Q114" s="807" t="s">
        <v>35</v>
      </c>
      <c r="R114" s="807" t="s">
        <v>35</v>
      </c>
      <c r="S114" s="807" t="s">
        <v>35</v>
      </c>
      <c r="T114" s="807" t="s">
        <v>35</v>
      </c>
      <c r="U114" s="807" t="s">
        <v>35</v>
      </c>
      <c r="V114" s="807" t="s">
        <v>35</v>
      </c>
      <c r="W114" s="807" t="s">
        <v>35</v>
      </c>
      <c r="X114" s="807" t="s">
        <v>35</v>
      </c>
      <c r="Y114" s="807" t="s">
        <v>35</v>
      </c>
      <c r="Z114" s="807" t="s">
        <v>35</v>
      </c>
      <c r="AA114" s="807" t="s">
        <v>35</v>
      </c>
      <c r="AB114" s="807" t="s">
        <v>35</v>
      </c>
      <c r="AC114" s="807" t="s">
        <v>35</v>
      </c>
      <c r="AD114" s="807" t="s">
        <v>35</v>
      </c>
      <c r="AE114" s="807" t="s">
        <v>35</v>
      </c>
      <c r="AF114" s="807" t="s">
        <v>35</v>
      </c>
      <c r="AG114" s="807" t="s">
        <v>35</v>
      </c>
      <c r="AH114" s="807" t="s">
        <v>35</v>
      </c>
      <c r="AI114" s="807" t="s">
        <v>35</v>
      </c>
      <c r="AJ114" s="807" t="s">
        <v>35</v>
      </c>
    </row>
    <row r="115" spans="1:36" ht="18.75" customHeight="1" x14ac:dyDescent="0.25">
      <c r="A115" s="118" t="s">
        <v>120</v>
      </c>
      <c r="B115" s="807" t="s">
        <v>119</v>
      </c>
      <c r="C115" s="807" t="s">
        <v>118</v>
      </c>
      <c r="D115" s="807" t="s">
        <v>3968</v>
      </c>
      <c r="E115" s="807" t="s">
        <v>2977</v>
      </c>
      <c r="F115" s="807" t="s">
        <v>3969</v>
      </c>
      <c r="G115" s="807" t="s">
        <v>3970</v>
      </c>
      <c r="H115" s="807" t="s">
        <v>3971</v>
      </c>
      <c r="I115" s="807">
        <v>821</v>
      </c>
      <c r="J115" s="124" t="s">
        <v>3972</v>
      </c>
      <c r="K115" s="124" t="s">
        <v>35</v>
      </c>
      <c r="L115" s="807" t="s">
        <v>3742</v>
      </c>
      <c r="M115" s="807" t="s">
        <v>3956</v>
      </c>
      <c r="N115" s="807" t="s">
        <v>35</v>
      </c>
      <c r="O115" s="807" t="s">
        <v>35</v>
      </c>
      <c r="P115" s="807" t="s">
        <v>35</v>
      </c>
      <c r="Q115" s="807" t="s">
        <v>35</v>
      </c>
      <c r="R115" s="807" t="s">
        <v>35</v>
      </c>
      <c r="S115" s="807" t="s">
        <v>35</v>
      </c>
      <c r="T115" s="807" t="s">
        <v>35</v>
      </c>
      <c r="U115" s="807" t="s">
        <v>35</v>
      </c>
      <c r="V115" s="807" t="s">
        <v>35</v>
      </c>
      <c r="W115" s="807" t="s">
        <v>35</v>
      </c>
      <c r="X115" s="807" t="s">
        <v>35</v>
      </c>
      <c r="Y115" s="807" t="s">
        <v>35</v>
      </c>
      <c r="Z115" s="807" t="s">
        <v>35</v>
      </c>
      <c r="AA115" s="807" t="s">
        <v>35</v>
      </c>
      <c r="AB115" s="807" t="s">
        <v>35</v>
      </c>
      <c r="AC115" s="807" t="s">
        <v>35</v>
      </c>
      <c r="AD115" s="807" t="s">
        <v>35</v>
      </c>
      <c r="AE115" s="807" t="s">
        <v>35</v>
      </c>
      <c r="AF115" s="807" t="s">
        <v>35</v>
      </c>
      <c r="AG115" s="807" t="s">
        <v>35</v>
      </c>
      <c r="AH115" s="807" t="s">
        <v>35</v>
      </c>
      <c r="AI115" s="807" t="s">
        <v>35</v>
      </c>
      <c r="AJ115" s="807" t="s">
        <v>35</v>
      </c>
    </row>
    <row r="116" spans="1:36" ht="18.75" customHeight="1" x14ac:dyDescent="0.25">
      <c r="A116" s="118" t="s">
        <v>120</v>
      </c>
      <c r="B116" s="807" t="s">
        <v>119</v>
      </c>
      <c r="C116" s="807" t="s">
        <v>118</v>
      </c>
      <c r="D116" s="807" t="s">
        <v>3973</v>
      </c>
      <c r="E116" s="807" t="s">
        <v>2977</v>
      </c>
      <c r="F116" s="807" t="s">
        <v>312</v>
      </c>
      <c r="G116" s="807" t="s">
        <v>312</v>
      </c>
      <c r="H116" s="807" t="s">
        <v>3974</v>
      </c>
      <c r="I116" s="807">
        <v>680</v>
      </c>
      <c r="J116" s="124" t="s">
        <v>3090</v>
      </c>
      <c r="K116" s="124" t="s">
        <v>35</v>
      </c>
      <c r="L116" s="807" t="s">
        <v>3742</v>
      </c>
      <c r="M116" s="807" t="s">
        <v>3948</v>
      </c>
      <c r="N116" s="807" t="s">
        <v>35</v>
      </c>
      <c r="O116" s="807" t="s">
        <v>35</v>
      </c>
      <c r="P116" s="807" t="s">
        <v>35</v>
      </c>
      <c r="Q116" s="807" t="s">
        <v>35</v>
      </c>
      <c r="R116" s="807" t="s">
        <v>35</v>
      </c>
      <c r="S116" s="807" t="s">
        <v>35</v>
      </c>
      <c r="T116" s="807" t="s">
        <v>35</v>
      </c>
      <c r="U116" s="807" t="s">
        <v>35</v>
      </c>
      <c r="V116" s="807" t="s">
        <v>35</v>
      </c>
      <c r="W116" s="807" t="s">
        <v>35</v>
      </c>
      <c r="X116" s="807" t="s">
        <v>35</v>
      </c>
      <c r="Y116" s="807" t="s">
        <v>35</v>
      </c>
      <c r="Z116" s="807" t="s">
        <v>35</v>
      </c>
      <c r="AA116" s="807" t="s">
        <v>35</v>
      </c>
      <c r="AB116" s="807" t="s">
        <v>35</v>
      </c>
      <c r="AC116" s="807" t="s">
        <v>35</v>
      </c>
      <c r="AD116" s="807" t="s">
        <v>35</v>
      </c>
      <c r="AE116" s="807" t="s">
        <v>35</v>
      </c>
      <c r="AF116" s="807" t="s">
        <v>35</v>
      </c>
      <c r="AG116" s="807" t="s">
        <v>35</v>
      </c>
      <c r="AH116" s="807" t="s">
        <v>35</v>
      </c>
      <c r="AI116" s="807" t="s">
        <v>35</v>
      </c>
      <c r="AJ116" s="807" t="s">
        <v>35</v>
      </c>
    </row>
    <row r="117" spans="1:36" ht="18.75" customHeight="1" x14ac:dyDescent="0.25">
      <c r="A117" s="118" t="s">
        <v>120</v>
      </c>
      <c r="B117" s="807" t="s">
        <v>119</v>
      </c>
      <c r="C117" s="807" t="s">
        <v>118</v>
      </c>
      <c r="D117" s="807" t="s">
        <v>3975</v>
      </c>
      <c r="E117" s="807" t="s">
        <v>2977</v>
      </c>
      <c r="F117" s="807" t="s">
        <v>312</v>
      </c>
      <c r="G117" s="807" t="s">
        <v>312</v>
      </c>
      <c r="H117" s="807" t="s">
        <v>3976</v>
      </c>
      <c r="I117" s="807">
        <v>769</v>
      </c>
      <c r="J117" s="124" t="s">
        <v>3090</v>
      </c>
      <c r="K117" s="124" t="s">
        <v>35</v>
      </c>
      <c r="L117" s="807" t="s">
        <v>3742</v>
      </c>
      <c r="M117" s="807" t="s">
        <v>3956</v>
      </c>
      <c r="N117" s="807" t="s">
        <v>35</v>
      </c>
      <c r="O117" s="807" t="s">
        <v>35</v>
      </c>
      <c r="P117" s="807" t="s">
        <v>35</v>
      </c>
      <c r="Q117" s="807" t="s">
        <v>35</v>
      </c>
      <c r="R117" s="807" t="s">
        <v>35</v>
      </c>
      <c r="S117" s="807" t="s">
        <v>35</v>
      </c>
      <c r="T117" s="807" t="s">
        <v>35</v>
      </c>
      <c r="U117" s="807" t="s">
        <v>35</v>
      </c>
      <c r="V117" s="807" t="s">
        <v>35</v>
      </c>
      <c r="W117" s="807" t="s">
        <v>35</v>
      </c>
      <c r="X117" s="807" t="s">
        <v>35</v>
      </c>
      <c r="Y117" s="807" t="s">
        <v>35</v>
      </c>
      <c r="Z117" s="807" t="s">
        <v>35</v>
      </c>
      <c r="AA117" s="807" t="s">
        <v>35</v>
      </c>
      <c r="AB117" s="807" t="s">
        <v>35</v>
      </c>
      <c r="AC117" s="807" t="s">
        <v>35</v>
      </c>
      <c r="AD117" s="807" t="s">
        <v>35</v>
      </c>
      <c r="AE117" s="807" t="s">
        <v>35</v>
      </c>
      <c r="AF117" s="807" t="s">
        <v>35</v>
      </c>
      <c r="AG117" s="807" t="s">
        <v>35</v>
      </c>
      <c r="AH117" s="807" t="s">
        <v>35</v>
      </c>
      <c r="AI117" s="807" t="s">
        <v>35</v>
      </c>
      <c r="AJ117" s="807" t="s">
        <v>35</v>
      </c>
    </row>
    <row r="118" spans="1:36" ht="18.75" customHeight="1" x14ac:dyDescent="0.25">
      <c r="A118" s="118" t="s">
        <v>120</v>
      </c>
      <c r="B118" s="807" t="s">
        <v>119</v>
      </c>
      <c r="C118" s="807" t="s">
        <v>118</v>
      </c>
      <c r="D118" s="807" t="s">
        <v>3977</v>
      </c>
      <c r="E118" s="807" t="s">
        <v>2977</v>
      </c>
      <c r="F118" s="807" t="s">
        <v>312</v>
      </c>
      <c r="G118" s="807" t="s">
        <v>312</v>
      </c>
      <c r="H118" s="807" t="s">
        <v>3978</v>
      </c>
      <c r="I118" s="807">
        <v>768</v>
      </c>
      <c r="J118" s="124" t="s">
        <v>3979</v>
      </c>
      <c r="K118" s="124" t="s">
        <v>35</v>
      </c>
      <c r="L118" s="807" t="s">
        <v>3742</v>
      </c>
      <c r="M118" s="807" t="s">
        <v>3956</v>
      </c>
      <c r="N118" s="807" t="s">
        <v>35</v>
      </c>
      <c r="O118" s="807" t="s">
        <v>35</v>
      </c>
      <c r="P118" s="807" t="s">
        <v>35</v>
      </c>
      <c r="Q118" s="807" t="s">
        <v>35</v>
      </c>
      <c r="R118" s="807" t="s">
        <v>35</v>
      </c>
      <c r="S118" s="807" t="s">
        <v>35</v>
      </c>
      <c r="T118" s="807" t="s">
        <v>35</v>
      </c>
      <c r="U118" s="807" t="s">
        <v>35</v>
      </c>
      <c r="V118" s="807" t="s">
        <v>35</v>
      </c>
      <c r="W118" s="807" t="s">
        <v>35</v>
      </c>
      <c r="X118" s="807" t="s">
        <v>35</v>
      </c>
      <c r="Y118" s="807" t="s">
        <v>35</v>
      </c>
      <c r="Z118" s="807" t="s">
        <v>35</v>
      </c>
      <c r="AA118" s="807" t="s">
        <v>35</v>
      </c>
      <c r="AB118" s="807" t="s">
        <v>35</v>
      </c>
      <c r="AC118" s="807" t="s">
        <v>35</v>
      </c>
      <c r="AD118" s="807" t="s">
        <v>35</v>
      </c>
      <c r="AE118" s="807" t="s">
        <v>35</v>
      </c>
      <c r="AF118" s="807" t="s">
        <v>35</v>
      </c>
      <c r="AG118" s="807" t="s">
        <v>35</v>
      </c>
      <c r="AH118" s="807" t="s">
        <v>35</v>
      </c>
      <c r="AI118" s="807" t="s">
        <v>35</v>
      </c>
      <c r="AJ118" s="807" t="s">
        <v>35</v>
      </c>
    </row>
    <row r="119" spans="1:36" ht="18.75" customHeight="1" x14ac:dyDescent="0.25">
      <c r="A119" s="118" t="s">
        <v>120</v>
      </c>
      <c r="B119" s="807" t="s">
        <v>119</v>
      </c>
      <c r="C119" s="807" t="s">
        <v>118</v>
      </c>
      <c r="D119" s="807" t="s">
        <v>3980</v>
      </c>
      <c r="E119" s="807" t="s">
        <v>2977</v>
      </c>
      <c r="F119" s="807" t="s">
        <v>3981</v>
      </c>
      <c r="G119" s="807" t="s">
        <v>3982</v>
      </c>
      <c r="H119" s="807" t="s">
        <v>3983</v>
      </c>
      <c r="I119" s="807">
        <v>707</v>
      </c>
      <c r="J119" s="124" t="s">
        <v>3963</v>
      </c>
      <c r="K119" s="124" t="s">
        <v>35</v>
      </c>
      <c r="L119" s="807" t="s">
        <v>3742</v>
      </c>
      <c r="M119" s="807" t="s">
        <v>3964</v>
      </c>
      <c r="N119" s="807" t="s">
        <v>35</v>
      </c>
      <c r="O119" s="807" t="s">
        <v>35</v>
      </c>
      <c r="P119" s="807" t="s">
        <v>35</v>
      </c>
      <c r="Q119" s="807" t="s">
        <v>35</v>
      </c>
      <c r="R119" s="807" t="s">
        <v>35</v>
      </c>
      <c r="S119" s="807" t="s">
        <v>35</v>
      </c>
      <c r="T119" s="807" t="s">
        <v>35</v>
      </c>
      <c r="U119" s="807" t="s">
        <v>35</v>
      </c>
      <c r="V119" s="807" t="s">
        <v>35</v>
      </c>
      <c r="W119" s="807" t="s">
        <v>35</v>
      </c>
      <c r="X119" s="807" t="s">
        <v>35</v>
      </c>
      <c r="Y119" s="807" t="s">
        <v>35</v>
      </c>
      <c r="Z119" s="807" t="s">
        <v>35</v>
      </c>
      <c r="AA119" s="807" t="s">
        <v>35</v>
      </c>
      <c r="AB119" s="807" t="s">
        <v>35</v>
      </c>
      <c r="AC119" s="807" t="s">
        <v>35</v>
      </c>
      <c r="AD119" s="807" t="s">
        <v>35</v>
      </c>
      <c r="AE119" s="807" t="s">
        <v>35</v>
      </c>
      <c r="AF119" s="807" t="s">
        <v>35</v>
      </c>
      <c r="AG119" s="807" t="s">
        <v>35</v>
      </c>
      <c r="AH119" s="807" t="s">
        <v>35</v>
      </c>
      <c r="AI119" s="807" t="s">
        <v>35</v>
      </c>
      <c r="AJ119" s="807" t="s">
        <v>35</v>
      </c>
    </row>
    <row r="120" spans="1:36" ht="18.75" customHeight="1" x14ac:dyDescent="0.25">
      <c r="A120" s="118" t="s">
        <v>120</v>
      </c>
      <c r="B120" s="807" t="s">
        <v>119</v>
      </c>
      <c r="C120" s="807" t="s">
        <v>118</v>
      </c>
      <c r="D120" s="807" t="s">
        <v>3984</v>
      </c>
      <c r="E120" s="807" t="s">
        <v>2977</v>
      </c>
      <c r="F120" s="807" t="s">
        <v>312</v>
      </c>
      <c r="G120" s="807" t="s">
        <v>312</v>
      </c>
      <c r="H120" s="807" t="s">
        <v>3985</v>
      </c>
      <c r="I120" s="807">
        <v>705</v>
      </c>
      <c r="J120" s="124" t="s">
        <v>3986</v>
      </c>
      <c r="K120" s="124" t="s">
        <v>35</v>
      </c>
      <c r="L120" s="807" t="s">
        <v>3742</v>
      </c>
      <c r="M120" s="807" t="s">
        <v>3956</v>
      </c>
      <c r="N120" s="807" t="s">
        <v>35</v>
      </c>
      <c r="O120" s="807" t="s">
        <v>35</v>
      </c>
      <c r="P120" s="807" t="s">
        <v>35</v>
      </c>
      <c r="Q120" s="807" t="s">
        <v>35</v>
      </c>
      <c r="R120" s="807" t="s">
        <v>35</v>
      </c>
      <c r="S120" s="807" t="s">
        <v>35</v>
      </c>
      <c r="T120" s="807" t="s">
        <v>35</v>
      </c>
      <c r="U120" s="807" t="s">
        <v>35</v>
      </c>
      <c r="V120" s="807" t="s">
        <v>35</v>
      </c>
      <c r="W120" s="807" t="s">
        <v>35</v>
      </c>
      <c r="X120" s="807" t="s">
        <v>35</v>
      </c>
      <c r="Y120" s="807" t="s">
        <v>35</v>
      </c>
      <c r="Z120" s="807" t="s">
        <v>35</v>
      </c>
      <c r="AA120" s="807" t="s">
        <v>35</v>
      </c>
      <c r="AB120" s="807" t="s">
        <v>35</v>
      </c>
      <c r="AC120" s="807" t="s">
        <v>35</v>
      </c>
      <c r="AD120" s="807" t="s">
        <v>35</v>
      </c>
      <c r="AE120" s="807" t="s">
        <v>35</v>
      </c>
      <c r="AF120" s="807" t="s">
        <v>35</v>
      </c>
      <c r="AG120" s="807" t="s">
        <v>35</v>
      </c>
      <c r="AH120" s="807" t="s">
        <v>35</v>
      </c>
      <c r="AI120" s="807" t="s">
        <v>35</v>
      </c>
      <c r="AJ120" s="807" t="s">
        <v>35</v>
      </c>
    </row>
    <row r="121" spans="1:36" ht="18.75" customHeight="1" x14ac:dyDescent="0.25">
      <c r="A121" s="118" t="s">
        <v>120</v>
      </c>
      <c r="B121" s="807" t="s">
        <v>119</v>
      </c>
      <c r="C121" s="807" t="s">
        <v>118</v>
      </c>
      <c r="D121" s="807" t="s">
        <v>3987</v>
      </c>
      <c r="E121" s="807" t="s">
        <v>2977</v>
      </c>
      <c r="F121" s="807" t="s">
        <v>3988</v>
      </c>
      <c r="G121" s="807" t="s">
        <v>3970</v>
      </c>
      <c r="H121" s="807" t="s">
        <v>3989</v>
      </c>
      <c r="I121" s="807">
        <v>709</v>
      </c>
      <c r="J121" s="124" t="s">
        <v>35</v>
      </c>
      <c r="K121" s="124" t="s">
        <v>3990</v>
      </c>
      <c r="L121" s="807" t="s">
        <v>3172</v>
      </c>
      <c r="M121" s="807" t="s">
        <v>3991</v>
      </c>
      <c r="N121" s="807" t="s">
        <v>35</v>
      </c>
      <c r="O121" s="807" t="s">
        <v>35</v>
      </c>
      <c r="P121" s="807" t="s">
        <v>35</v>
      </c>
      <c r="Q121" s="807" t="s">
        <v>35</v>
      </c>
      <c r="R121" s="807" t="s">
        <v>35</v>
      </c>
      <c r="S121" s="807" t="s">
        <v>35</v>
      </c>
      <c r="T121" s="807" t="s">
        <v>35</v>
      </c>
      <c r="U121" s="807" t="s">
        <v>35</v>
      </c>
      <c r="V121" s="807" t="s">
        <v>35</v>
      </c>
      <c r="W121" s="807" t="s">
        <v>35</v>
      </c>
      <c r="X121" s="807" t="s">
        <v>35</v>
      </c>
      <c r="Y121" s="807" t="s">
        <v>35</v>
      </c>
      <c r="Z121" s="807" t="s">
        <v>35</v>
      </c>
      <c r="AA121" s="807" t="s">
        <v>35</v>
      </c>
      <c r="AB121" s="807" t="s">
        <v>35</v>
      </c>
      <c r="AC121" s="807" t="s">
        <v>35</v>
      </c>
      <c r="AD121" s="807" t="s">
        <v>35</v>
      </c>
      <c r="AE121" s="807" t="s">
        <v>35</v>
      </c>
      <c r="AF121" s="807" t="s">
        <v>35</v>
      </c>
      <c r="AG121" s="807" t="s">
        <v>35</v>
      </c>
      <c r="AH121" s="807" t="s">
        <v>35</v>
      </c>
      <c r="AI121" s="807" t="s">
        <v>35</v>
      </c>
      <c r="AJ121" s="807" t="s">
        <v>35</v>
      </c>
    </row>
    <row r="122" spans="1:36" ht="18.75" customHeight="1" x14ac:dyDescent="0.25">
      <c r="A122" s="118" t="s">
        <v>120</v>
      </c>
      <c r="B122" s="807" t="s">
        <v>119</v>
      </c>
      <c r="C122" s="807" t="s">
        <v>118</v>
      </c>
      <c r="D122" s="807" t="s">
        <v>3992</v>
      </c>
      <c r="E122" s="807" t="s">
        <v>2977</v>
      </c>
      <c r="F122" s="807" t="s">
        <v>3597</v>
      </c>
      <c r="G122" s="807" t="s">
        <v>3993</v>
      </c>
      <c r="H122" s="807" t="s">
        <v>3994</v>
      </c>
      <c r="I122" s="807">
        <v>371</v>
      </c>
      <c r="J122" s="124" t="s">
        <v>35</v>
      </c>
      <c r="K122" s="124" t="s">
        <v>35</v>
      </c>
      <c r="L122" s="807" t="s">
        <v>3453</v>
      </c>
      <c r="M122" s="807"/>
      <c r="N122" s="807" t="s">
        <v>35</v>
      </c>
      <c r="O122" s="807">
        <v>4950</v>
      </c>
      <c r="P122" s="807" t="s">
        <v>35</v>
      </c>
      <c r="Q122" s="807" t="s">
        <v>35</v>
      </c>
      <c r="R122" s="807" t="s">
        <v>35</v>
      </c>
      <c r="S122" s="807" t="s">
        <v>35</v>
      </c>
      <c r="T122" s="807" t="s">
        <v>35</v>
      </c>
      <c r="U122" s="807" t="s">
        <v>35</v>
      </c>
      <c r="V122" s="807" t="s">
        <v>35</v>
      </c>
      <c r="W122" s="807" t="s">
        <v>35</v>
      </c>
      <c r="X122" s="807" t="s">
        <v>35</v>
      </c>
      <c r="Y122" s="807" t="s">
        <v>35</v>
      </c>
      <c r="Z122" s="807" t="s">
        <v>35</v>
      </c>
      <c r="AA122" s="807" t="s">
        <v>35</v>
      </c>
      <c r="AB122" s="807" t="s">
        <v>35</v>
      </c>
      <c r="AC122" s="807" t="s">
        <v>35</v>
      </c>
      <c r="AD122" s="807" t="s">
        <v>35</v>
      </c>
      <c r="AE122" s="807" t="s">
        <v>35</v>
      </c>
      <c r="AF122" s="807" t="s">
        <v>35</v>
      </c>
      <c r="AG122" s="807" t="s">
        <v>35</v>
      </c>
      <c r="AH122" s="807" t="s">
        <v>35</v>
      </c>
      <c r="AI122" s="807" t="s">
        <v>35</v>
      </c>
      <c r="AJ122" s="807" t="s">
        <v>35</v>
      </c>
    </row>
    <row r="123" spans="1:36" ht="18.75" customHeight="1" x14ac:dyDescent="0.25">
      <c r="A123" s="118" t="s">
        <v>120</v>
      </c>
      <c r="B123" s="807" t="s">
        <v>119</v>
      </c>
      <c r="C123" s="807" t="s">
        <v>118</v>
      </c>
      <c r="D123" s="807" t="s">
        <v>3995</v>
      </c>
      <c r="E123" s="807" t="s">
        <v>2977</v>
      </c>
      <c r="F123" s="807" t="s">
        <v>312</v>
      </c>
      <c r="G123" s="807" t="s">
        <v>312</v>
      </c>
      <c r="H123" s="807" t="s">
        <v>3996</v>
      </c>
      <c r="I123" s="807">
        <v>822</v>
      </c>
      <c r="J123" s="124" t="s">
        <v>3972</v>
      </c>
      <c r="K123" s="124" t="s">
        <v>35</v>
      </c>
      <c r="L123" s="807" t="s">
        <v>3742</v>
      </c>
      <c r="M123" s="807" t="s">
        <v>3956</v>
      </c>
      <c r="N123" s="807" t="s">
        <v>35</v>
      </c>
      <c r="O123" s="807" t="s">
        <v>35</v>
      </c>
      <c r="P123" s="807" t="s">
        <v>35</v>
      </c>
      <c r="Q123" s="807" t="s">
        <v>35</v>
      </c>
      <c r="R123" s="807" t="s">
        <v>35</v>
      </c>
      <c r="S123" s="807" t="s">
        <v>35</v>
      </c>
      <c r="T123" s="807" t="s">
        <v>35</v>
      </c>
      <c r="U123" s="807" t="s">
        <v>35</v>
      </c>
      <c r="V123" s="807" t="s">
        <v>35</v>
      </c>
      <c r="W123" s="807" t="s">
        <v>35</v>
      </c>
      <c r="X123" s="807" t="s">
        <v>35</v>
      </c>
      <c r="Y123" s="807" t="s">
        <v>35</v>
      </c>
      <c r="Z123" s="807" t="s">
        <v>35</v>
      </c>
      <c r="AA123" s="807" t="s">
        <v>35</v>
      </c>
      <c r="AB123" s="807" t="s">
        <v>35</v>
      </c>
      <c r="AC123" s="807" t="s">
        <v>35</v>
      </c>
      <c r="AD123" s="807" t="s">
        <v>35</v>
      </c>
      <c r="AE123" s="807" t="s">
        <v>35</v>
      </c>
      <c r="AF123" s="807" t="s">
        <v>35</v>
      </c>
      <c r="AG123" s="807" t="s">
        <v>35</v>
      </c>
      <c r="AH123" s="807" t="s">
        <v>35</v>
      </c>
      <c r="AI123" s="807" t="s">
        <v>35</v>
      </c>
      <c r="AJ123" s="807" t="s">
        <v>35</v>
      </c>
    </row>
    <row r="124" spans="1:36" ht="18.75" customHeight="1" x14ac:dyDescent="0.25">
      <c r="A124" s="118" t="s">
        <v>120</v>
      </c>
      <c r="B124" s="807" t="s">
        <v>119</v>
      </c>
      <c r="C124" s="807" t="s">
        <v>118</v>
      </c>
      <c r="D124" s="807" t="s">
        <v>3997</v>
      </c>
      <c r="E124" s="807" t="s">
        <v>2977</v>
      </c>
      <c r="F124" s="807" t="s">
        <v>3688</v>
      </c>
      <c r="G124" s="807" t="s">
        <v>3961</v>
      </c>
      <c r="H124" s="807" t="s">
        <v>3998</v>
      </c>
      <c r="I124" s="807">
        <v>593</v>
      </c>
      <c r="J124" s="124" t="s">
        <v>3090</v>
      </c>
      <c r="K124" s="124" t="s">
        <v>35</v>
      </c>
      <c r="L124" s="807" t="s">
        <v>3742</v>
      </c>
      <c r="M124" s="807" t="s">
        <v>3999</v>
      </c>
      <c r="N124" s="807" t="s">
        <v>35</v>
      </c>
      <c r="O124" s="807" t="s">
        <v>35</v>
      </c>
      <c r="P124" s="807" t="s">
        <v>35</v>
      </c>
      <c r="Q124" s="807" t="s">
        <v>35</v>
      </c>
      <c r="R124" s="807" t="s">
        <v>35</v>
      </c>
      <c r="S124" s="807" t="s">
        <v>35</v>
      </c>
      <c r="T124" s="807" t="s">
        <v>35</v>
      </c>
      <c r="U124" s="807" t="s">
        <v>35</v>
      </c>
      <c r="V124" s="807" t="s">
        <v>35</v>
      </c>
      <c r="W124" s="807" t="s">
        <v>35</v>
      </c>
      <c r="X124" s="807" t="s">
        <v>35</v>
      </c>
      <c r="Y124" s="807" t="s">
        <v>35</v>
      </c>
      <c r="Z124" s="807" t="s">
        <v>35</v>
      </c>
      <c r="AA124" s="807" t="s">
        <v>35</v>
      </c>
      <c r="AB124" s="807" t="s">
        <v>35</v>
      </c>
      <c r="AC124" s="807" t="s">
        <v>35</v>
      </c>
      <c r="AD124" s="807" t="s">
        <v>35</v>
      </c>
      <c r="AE124" s="807" t="s">
        <v>35</v>
      </c>
      <c r="AF124" s="807" t="s">
        <v>35</v>
      </c>
      <c r="AG124" s="807" t="s">
        <v>35</v>
      </c>
      <c r="AH124" s="807" t="s">
        <v>35</v>
      </c>
      <c r="AI124" s="807" t="s">
        <v>35</v>
      </c>
      <c r="AJ124" s="807" t="s">
        <v>35</v>
      </c>
    </row>
    <row r="125" spans="1:36" ht="18.75" customHeight="1" x14ac:dyDescent="0.25">
      <c r="A125" s="118" t="s">
        <v>120</v>
      </c>
      <c r="B125" s="807" t="s">
        <v>119</v>
      </c>
      <c r="C125" s="807" t="s">
        <v>118</v>
      </c>
      <c r="D125" s="807" t="s">
        <v>4000</v>
      </c>
      <c r="E125" s="807" t="s">
        <v>3316</v>
      </c>
      <c r="F125" s="807" t="s">
        <v>4001</v>
      </c>
      <c r="G125" s="807" t="s">
        <v>4002</v>
      </c>
      <c r="H125" s="807" t="s">
        <v>4003</v>
      </c>
      <c r="I125" s="807">
        <v>251</v>
      </c>
      <c r="J125" s="124" t="s">
        <v>4004</v>
      </c>
      <c r="K125" s="124" t="s">
        <v>35</v>
      </c>
      <c r="L125" s="807" t="s">
        <v>4005</v>
      </c>
      <c r="M125" s="807" t="s">
        <v>3964</v>
      </c>
      <c r="N125" s="807" t="s">
        <v>35</v>
      </c>
      <c r="O125" s="807" t="s">
        <v>35</v>
      </c>
      <c r="P125" s="807" t="s">
        <v>35</v>
      </c>
      <c r="Q125" s="807" t="s">
        <v>35</v>
      </c>
      <c r="R125" s="807" t="s">
        <v>35</v>
      </c>
      <c r="S125" s="807" t="s">
        <v>35</v>
      </c>
      <c r="T125" s="807" t="s">
        <v>35</v>
      </c>
      <c r="U125" s="807" t="s">
        <v>35</v>
      </c>
      <c r="V125" s="807" t="s">
        <v>35</v>
      </c>
      <c r="W125" s="807" t="s">
        <v>35</v>
      </c>
      <c r="X125" s="807" t="s">
        <v>35</v>
      </c>
      <c r="Y125" s="807" t="s">
        <v>35</v>
      </c>
      <c r="Z125" s="807" t="s">
        <v>35</v>
      </c>
      <c r="AA125" s="807" t="s">
        <v>35</v>
      </c>
      <c r="AB125" s="807" t="s">
        <v>35</v>
      </c>
      <c r="AC125" s="807" t="s">
        <v>35</v>
      </c>
      <c r="AD125" s="807" t="s">
        <v>35</v>
      </c>
      <c r="AE125" s="807" t="s">
        <v>35</v>
      </c>
      <c r="AF125" s="807" t="s">
        <v>35</v>
      </c>
      <c r="AG125" s="807" t="s">
        <v>35</v>
      </c>
      <c r="AH125" s="807" t="s">
        <v>35</v>
      </c>
      <c r="AI125" s="807" t="s">
        <v>35</v>
      </c>
      <c r="AJ125" s="807" t="s">
        <v>35</v>
      </c>
    </row>
    <row r="126" spans="1:36" ht="18.75" customHeight="1" x14ac:dyDescent="0.25">
      <c r="A126" s="118" t="s">
        <v>120</v>
      </c>
      <c r="B126" s="807" t="s">
        <v>119</v>
      </c>
      <c r="C126" s="807" t="s">
        <v>118</v>
      </c>
      <c r="D126" s="807" t="s">
        <v>4006</v>
      </c>
      <c r="E126" s="807" t="s">
        <v>2977</v>
      </c>
      <c r="F126" s="807" t="s">
        <v>312</v>
      </c>
      <c r="G126" s="807" t="s">
        <v>312</v>
      </c>
      <c r="H126" s="807" t="s">
        <v>4007</v>
      </c>
      <c r="I126" s="807">
        <v>732</v>
      </c>
      <c r="J126" s="124" t="s">
        <v>3090</v>
      </c>
      <c r="K126" s="124" t="s">
        <v>35</v>
      </c>
      <c r="L126" s="807" t="s">
        <v>3742</v>
      </c>
      <c r="M126" s="807" t="s">
        <v>3948</v>
      </c>
      <c r="N126" s="807" t="s">
        <v>35</v>
      </c>
      <c r="O126" s="807" t="s">
        <v>35</v>
      </c>
      <c r="P126" s="807" t="s">
        <v>35</v>
      </c>
      <c r="Q126" s="807" t="s">
        <v>35</v>
      </c>
      <c r="R126" s="807" t="s">
        <v>35</v>
      </c>
      <c r="S126" s="807" t="s">
        <v>35</v>
      </c>
      <c r="T126" s="807" t="s">
        <v>35</v>
      </c>
      <c r="U126" s="807" t="s">
        <v>35</v>
      </c>
      <c r="V126" s="807" t="s">
        <v>35</v>
      </c>
      <c r="W126" s="807" t="s">
        <v>35</v>
      </c>
      <c r="X126" s="807" t="s">
        <v>35</v>
      </c>
      <c r="Y126" s="807" t="s">
        <v>35</v>
      </c>
      <c r="Z126" s="807" t="s">
        <v>35</v>
      </c>
      <c r="AA126" s="807" t="s">
        <v>35</v>
      </c>
      <c r="AB126" s="807" t="s">
        <v>35</v>
      </c>
      <c r="AC126" s="807" t="s">
        <v>35</v>
      </c>
      <c r="AD126" s="807" t="s">
        <v>35</v>
      </c>
      <c r="AE126" s="807" t="s">
        <v>35</v>
      </c>
      <c r="AF126" s="807" t="s">
        <v>35</v>
      </c>
      <c r="AG126" s="807" t="s">
        <v>35</v>
      </c>
      <c r="AH126" s="807" t="s">
        <v>35</v>
      </c>
      <c r="AI126" s="807" t="s">
        <v>35</v>
      </c>
      <c r="AJ126" s="807" t="s">
        <v>35</v>
      </c>
    </row>
    <row r="127" spans="1:36" ht="18.75" customHeight="1" x14ac:dyDescent="0.25">
      <c r="A127" s="117" t="s">
        <v>123</v>
      </c>
      <c r="B127" s="119" t="s">
        <v>122</v>
      </c>
      <c r="C127" s="119" t="s">
        <v>121</v>
      </c>
      <c r="D127" s="119" t="s">
        <v>4008</v>
      </c>
      <c r="E127" s="119" t="s">
        <v>2977</v>
      </c>
      <c r="F127" s="119" t="s">
        <v>4009</v>
      </c>
      <c r="G127" s="119" t="s">
        <v>3047</v>
      </c>
      <c r="H127" s="119" t="s">
        <v>4010</v>
      </c>
      <c r="I127" s="119">
        <v>1234</v>
      </c>
      <c r="J127" s="120" t="s">
        <v>4011</v>
      </c>
      <c r="K127" s="120" t="s">
        <v>35</v>
      </c>
      <c r="L127" s="119" t="s">
        <v>2980</v>
      </c>
      <c r="M127" s="119" t="s">
        <v>4012</v>
      </c>
      <c r="N127" s="119" t="s">
        <v>4013</v>
      </c>
      <c r="O127" s="119" t="s">
        <v>35</v>
      </c>
      <c r="P127" s="119" t="s">
        <v>3705</v>
      </c>
      <c r="Q127" s="119" t="s">
        <v>4014</v>
      </c>
      <c r="R127" s="119" t="s">
        <v>2985</v>
      </c>
      <c r="S127" s="119" t="s">
        <v>2985</v>
      </c>
      <c r="T127" s="119" t="s">
        <v>3061</v>
      </c>
      <c r="U127" s="119" t="s">
        <v>4015</v>
      </c>
      <c r="V127" s="119" t="s">
        <v>4016</v>
      </c>
      <c r="W127" s="119" t="s">
        <v>3057</v>
      </c>
      <c r="X127" s="119" t="s">
        <v>4017</v>
      </c>
      <c r="Y127" s="119" t="s">
        <v>4018</v>
      </c>
      <c r="Z127" s="119" t="s">
        <v>4019</v>
      </c>
      <c r="AA127" s="119" t="s">
        <v>4020</v>
      </c>
      <c r="AB127" s="119" t="s">
        <v>3406</v>
      </c>
      <c r="AC127" s="119" t="s">
        <v>4021</v>
      </c>
      <c r="AD127" s="119" t="s">
        <v>4022</v>
      </c>
      <c r="AE127" s="119" t="s">
        <v>4023</v>
      </c>
      <c r="AF127" s="119" t="s">
        <v>4024</v>
      </c>
      <c r="AG127" s="119" t="s">
        <v>4025</v>
      </c>
      <c r="AH127" s="119" t="s">
        <v>4026</v>
      </c>
      <c r="AI127" s="119" t="s">
        <v>4027</v>
      </c>
      <c r="AJ127" s="119" t="s">
        <v>4028</v>
      </c>
    </row>
    <row r="128" spans="1:36" ht="18.75" customHeight="1" x14ac:dyDescent="0.25">
      <c r="A128" s="117" t="s">
        <v>123</v>
      </c>
      <c r="B128" s="119" t="s">
        <v>122</v>
      </c>
      <c r="C128" s="119" t="s">
        <v>121</v>
      </c>
      <c r="D128" s="119" t="s">
        <v>4029</v>
      </c>
      <c r="E128" s="119" t="s">
        <v>2977</v>
      </c>
      <c r="F128" s="119" t="s">
        <v>4030</v>
      </c>
      <c r="G128" s="119" t="s">
        <v>3047</v>
      </c>
      <c r="H128" s="119" t="s">
        <v>4031</v>
      </c>
      <c r="I128" s="119">
        <v>1167</v>
      </c>
      <c r="J128" s="120" t="s">
        <v>4032</v>
      </c>
      <c r="K128" s="120" t="s">
        <v>35</v>
      </c>
      <c r="L128" s="119" t="s">
        <v>2980</v>
      </c>
      <c r="M128" s="119" t="s">
        <v>4033</v>
      </c>
      <c r="N128" s="119" t="s">
        <v>4034</v>
      </c>
      <c r="O128" s="119" t="s">
        <v>35</v>
      </c>
      <c r="P128" s="119" t="s">
        <v>3016</v>
      </c>
      <c r="Q128" s="119" t="s">
        <v>4035</v>
      </c>
      <c r="R128" s="119" t="s">
        <v>2985</v>
      </c>
      <c r="S128" s="119" t="s">
        <v>2985</v>
      </c>
      <c r="T128" s="119" t="s">
        <v>35</v>
      </c>
      <c r="U128" s="119" t="s">
        <v>35</v>
      </c>
      <c r="V128" s="119" t="s">
        <v>35</v>
      </c>
      <c r="W128" s="119" t="s">
        <v>35</v>
      </c>
      <c r="X128" s="119" t="s">
        <v>35</v>
      </c>
      <c r="Y128" s="119" t="s">
        <v>35</v>
      </c>
      <c r="Z128" s="119" t="s">
        <v>35</v>
      </c>
      <c r="AA128" s="119" t="s">
        <v>35</v>
      </c>
      <c r="AB128" s="119" t="s">
        <v>35</v>
      </c>
      <c r="AC128" s="119" t="s">
        <v>35</v>
      </c>
      <c r="AD128" s="119" t="s">
        <v>35</v>
      </c>
      <c r="AE128" s="119" t="s">
        <v>35</v>
      </c>
      <c r="AF128" s="119" t="s">
        <v>35</v>
      </c>
      <c r="AG128" s="119" t="s">
        <v>35</v>
      </c>
      <c r="AH128" s="119" t="s">
        <v>35</v>
      </c>
      <c r="AI128" s="119" t="s">
        <v>35</v>
      </c>
      <c r="AJ128" s="119" t="s">
        <v>35</v>
      </c>
    </row>
    <row r="129" spans="1:36" ht="18.75" customHeight="1" x14ac:dyDescent="0.25">
      <c r="A129" s="117" t="s">
        <v>123</v>
      </c>
      <c r="B129" s="119" t="s">
        <v>122</v>
      </c>
      <c r="C129" s="119" t="s">
        <v>121</v>
      </c>
      <c r="D129" s="119" t="s">
        <v>4036</v>
      </c>
      <c r="E129" s="119" t="s">
        <v>2977</v>
      </c>
      <c r="F129" s="119" t="s">
        <v>4037</v>
      </c>
      <c r="G129" s="119" t="s">
        <v>3047</v>
      </c>
      <c r="H129" s="119" t="s">
        <v>4038</v>
      </c>
      <c r="I129" s="119">
        <v>1234</v>
      </c>
      <c r="J129" s="120" t="s">
        <v>4039</v>
      </c>
      <c r="K129" s="120" t="s">
        <v>35</v>
      </c>
      <c r="L129" s="119" t="s">
        <v>2980</v>
      </c>
      <c r="M129" s="119" t="s">
        <v>4012</v>
      </c>
      <c r="N129" s="119" t="s">
        <v>4013</v>
      </c>
      <c r="O129" s="119" t="s">
        <v>35</v>
      </c>
      <c r="P129" s="119" t="s">
        <v>3705</v>
      </c>
      <c r="Q129" s="119" t="s">
        <v>4014</v>
      </c>
      <c r="R129" s="119" t="s">
        <v>2985</v>
      </c>
      <c r="S129" s="119" t="s">
        <v>2985</v>
      </c>
      <c r="T129" s="119" t="s">
        <v>35</v>
      </c>
      <c r="U129" s="119" t="s">
        <v>35</v>
      </c>
      <c r="V129" s="119" t="s">
        <v>35</v>
      </c>
      <c r="W129" s="119" t="s">
        <v>35</v>
      </c>
      <c r="X129" s="119" t="s">
        <v>35</v>
      </c>
      <c r="Y129" s="119" t="s">
        <v>35</v>
      </c>
      <c r="Z129" s="119" t="s">
        <v>35</v>
      </c>
      <c r="AA129" s="119" t="s">
        <v>35</v>
      </c>
      <c r="AB129" s="119" t="s">
        <v>35</v>
      </c>
      <c r="AC129" s="119" t="s">
        <v>35</v>
      </c>
      <c r="AD129" s="119" t="s">
        <v>35</v>
      </c>
      <c r="AE129" s="119" t="s">
        <v>35</v>
      </c>
      <c r="AF129" s="119" t="s">
        <v>35</v>
      </c>
      <c r="AG129" s="119" t="s">
        <v>35</v>
      </c>
      <c r="AH129" s="119" t="s">
        <v>35</v>
      </c>
      <c r="AI129" s="119" t="s">
        <v>35</v>
      </c>
      <c r="AJ129" s="119" t="s">
        <v>35</v>
      </c>
    </row>
    <row r="130" spans="1:36" ht="18.75" customHeight="1" x14ac:dyDescent="0.25">
      <c r="A130" s="118" t="s">
        <v>128</v>
      </c>
      <c r="B130" s="807" t="s">
        <v>127</v>
      </c>
      <c r="C130" s="807" t="s">
        <v>126</v>
      </c>
      <c r="D130" s="807" t="s">
        <v>4040</v>
      </c>
      <c r="E130" s="807" t="s">
        <v>2977</v>
      </c>
      <c r="F130" s="807" t="s">
        <v>4041</v>
      </c>
      <c r="G130" s="807" t="s">
        <v>3084</v>
      </c>
      <c r="H130" s="807" t="s">
        <v>4042</v>
      </c>
      <c r="I130" s="807">
        <v>2034</v>
      </c>
      <c r="J130" s="124" t="s">
        <v>4043</v>
      </c>
      <c r="K130" s="124" t="s">
        <v>35</v>
      </c>
      <c r="L130" s="807" t="s">
        <v>2980</v>
      </c>
      <c r="M130" s="807" t="s">
        <v>4044</v>
      </c>
      <c r="N130" s="807" t="s">
        <v>4045</v>
      </c>
      <c r="O130" s="807" t="s">
        <v>35</v>
      </c>
      <c r="P130" s="807" t="s">
        <v>3045</v>
      </c>
      <c r="Q130" s="807" t="s">
        <v>3823</v>
      </c>
      <c r="R130" s="807" t="s">
        <v>2985</v>
      </c>
      <c r="S130" s="807" t="s">
        <v>7</v>
      </c>
      <c r="T130" s="807" t="s">
        <v>4046</v>
      </c>
      <c r="U130" s="807" t="s">
        <v>4047</v>
      </c>
      <c r="V130" s="807" t="s">
        <v>4048</v>
      </c>
      <c r="W130" s="807" t="s">
        <v>3770</v>
      </c>
      <c r="X130" s="807" t="s">
        <v>4049</v>
      </c>
      <c r="Y130" s="807" t="s">
        <v>4050</v>
      </c>
      <c r="Z130" s="807" t="s">
        <v>4051</v>
      </c>
      <c r="AA130" s="807" t="s">
        <v>4052</v>
      </c>
      <c r="AB130" s="807" t="s">
        <v>4053</v>
      </c>
      <c r="AC130" s="807" t="s">
        <v>4054</v>
      </c>
      <c r="AD130" s="807" t="s">
        <v>4055</v>
      </c>
      <c r="AE130" s="807" t="s">
        <v>4056</v>
      </c>
      <c r="AF130" s="807" t="s">
        <v>3778</v>
      </c>
      <c r="AG130" s="807" t="s">
        <v>4057</v>
      </c>
      <c r="AH130" s="807" t="s">
        <v>4058</v>
      </c>
      <c r="AI130" s="807" t="s">
        <v>4059</v>
      </c>
      <c r="AJ130" s="807" t="s">
        <v>4060</v>
      </c>
    </row>
    <row r="131" spans="1:36" s="253" customFormat="1" ht="18.75" customHeight="1" x14ac:dyDescent="0.25">
      <c r="A131" s="122" t="s">
        <v>132</v>
      </c>
      <c r="B131" s="123" t="s">
        <v>4061</v>
      </c>
      <c r="C131" s="123" t="s">
        <v>4062</v>
      </c>
      <c r="D131" s="123" t="s">
        <v>4063</v>
      </c>
      <c r="E131" s="123" t="s">
        <v>3316</v>
      </c>
      <c r="F131" s="123">
        <v>5</v>
      </c>
      <c r="G131" s="123" t="s">
        <v>4064</v>
      </c>
      <c r="H131" s="123" t="s">
        <v>4065</v>
      </c>
      <c r="I131" s="123">
        <v>184</v>
      </c>
      <c r="J131" s="123" t="s">
        <v>35</v>
      </c>
      <c r="K131" s="123" t="s">
        <v>35</v>
      </c>
      <c r="L131" s="123" t="s">
        <v>4066</v>
      </c>
      <c r="M131" s="123" t="s">
        <v>35</v>
      </c>
      <c r="N131" s="123" t="s">
        <v>35</v>
      </c>
      <c r="O131" s="123">
        <v>7930</v>
      </c>
      <c r="P131" s="123" t="s">
        <v>35</v>
      </c>
      <c r="Q131" s="123" t="s">
        <v>35</v>
      </c>
      <c r="R131" s="123" t="s">
        <v>35</v>
      </c>
      <c r="S131" s="123" t="s">
        <v>35</v>
      </c>
      <c r="T131" s="123" t="s">
        <v>4067</v>
      </c>
      <c r="U131" s="123" t="s">
        <v>3105</v>
      </c>
      <c r="V131" s="123" t="s">
        <v>4068</v>
      </c>
      <c r="W131" s="123" t="s">
        <v>3105</v>
      </c>
      <c r="X131" s="123" t="s">
        <v>4069</v>
      </c>
      <c r="Y131" s="123" t="s">
        <v>3105</v>
      </c>
      <c r="Z131" s="123" t="s">
        <v>4070</v>
      </c>
      <c r="AA131" s="123" t="s">
        <v>4071</v>
      </c>
      <c r="AB131" s="123" t="s">
        <v>4072</v>
      </c>
      <c r="AC131" s="123" t="s">
        <v>4073</v>
      </c>
      <c r="AD131" s="123" t="s">
        <v>4074</v>
      </c>
      <c r="AE131" s="123" t="s">
        <v>4075</v>
      </c>
      <c r="AF131" s="123" t="s">
        <v>3105</v>
      </c>
      <c r="AG131" s="123" t="s">
        <v>4076</v>
      </c>
      <c r="AH131" s="123" t="s">
        <v>4077</v>
      </c>
      <c r="AI131" s="123" t="s">
        <v>4078</v>
      </c>
      <c r="AJ131" s="123" t="s">
        <v>4079</v>
      </c>
    </row>
    <row r="132" spans="1:36" ht="18.75" customHeight="1" x14ac:dyDescent="0.25">
      <c r="A132" s="117" t="s">
        <v>132</v>
      </c>
      <c r="B132" s="119" t="s">
        <v>131</v>
      </c>
      <c r="C132" s="119" t="s">
        <v>130</v>
      </c>
      <c r="D132" s="119" t="s">
        <v>4080</v>
      </c>
      <c r="E132" s="119" t="s">
        <v>2977</v>
      </c>
      <c r="F132" s="119" t="s">
        <v>312</v>
      </c>
      <c r="G132" s="119" t="s">
        <v>312</v>
      </c>
      <c r="H132" s="119" t="s">
        <v>4081</v>
      </c>
      <c r="I132" s="119">
        <v>923</v>
      </c>
      <c r="J132" s="120" t="s">
        <v>4082</v>
      </c>
      <c r="K132" s="120" t="s">
        <v>35</v>
      </c>
      <c r="L132" s="119" t="s">
        <v>2980</v>
      </c>
      <c r="M132" s="119" t="s">
        <v>4083</v>
      </c>
      <c r="N132" s="119" t="s">
        <v>4084</v>
      </c>
      <c r="O132" s="119" t="s">
        <v>35</v>
      </c>
      <c r="P132" s="119" t="s">
        <v>3016</v>
      </c>
      <c r="Q132" s="119" t="s">
        <v>4085</v>
      </c>
      <c r="R132" s="119" t="s">
        <v>2985</v>
      </c>
      <c r="S132" s="119" t="s">
        <v>2985</v>
      </c>
      <c r="T132" s="119" t="s">
        <v>35</v>
      </c>
      <c r="U132" s="119" t="s">
        <v>35</v>
      </c>
      <c r="V132" s="119" t="s">
        <v>35</v>
      </c>
      <c r="W132" s="119" t="s">
        <v>35</v>
      </c>
      <c r="X132" s="119" t="s">
        <v>35</v>
      </c>
      <c r="Y132" s="119" t="s">
        <v>35</v>
      </c>
      <c r="Z132" s="119" t="s">
        <v>35</v>
      </c>
      <c r="AA132" s="119" t="s">
        <v>35</v>
      </c>
      <c r="AB132" s="119" t="s">
        <v>35</v>
      </c>
      <c r="AC132" s="119" t="s">
        <v>35</v>
      </c>
      <c r="AD132" s="119" t="s">
        <v>35</v>
      </c>
      <c r="AE132" s="119" t="s">
        <v>35</v>
      </c>
      <c r="AF132" s="119" t="s">
        <v>35</v>
      </c>
      <c r="AG132" s="119" t="s">
        <v>35</v>
      </c>
      <c r="AH132" s="119" t="s">
        <v>35</v>
      </c>
      <c r="AI132" s="119" t="s">
        <v>35</v>
      </c>
      <c r="AJ132" s="119" t="s">
        <v>35</v>
      </c>
    </row>
    <row r="133" spans="1:36" ht="18.75" customHeight="1" x14ac:dyDescent="0.25">
      <c r="A133" s="117" t="s">
        <v>132</v>
      </c>
      <c r="B133" s="119" t="s">
        <v>131</v>
      </c>
      <c r="C133" s="119" t="s">
        <v>130</v>
      </c>
      <c r="D133" s="119" t="s">
        <v>4086</v>
      </c>
      <c r="E133" s="119" t="s">
        <v>2977</v>
      </c>
      <c r="F133" s="119">
        <v>31</v>
      </c>
      <c r="G133" s="119" t="s">
        <v>3148</v>
      </c>
      <c r="H133" s="119" t="s">
        <v>4087</v>
      </c>
      <c r="I133" s="119">
        <v>598</v>
      </c>
      <c r="J133" s="120" t="s">
        <v>3570</v>
      </c>
      <c r="K133" s="120" t="s">
        <v>35</v>
      </c>
      <c r="L133" s="119" t="s">
        <v>2980</v>
      </c>
      <c r="M133" s="119" t="s">
        <v>4083</v>
      </c>
      <c r="N133" s="119" t="s">
        <v>4084</v>
      </c>
      <c r="O133" s="119" t="s">
        <v>35</v>
      </c>
      <c r="P133" s="119" t="s">
        <v>3016</v>
      </c>
      <c r="Q133" s="119" t="s">
        <v>4088</v>
      </c>
      <c r="R133" s="119" t="s">
        <v>2985</v>
      </c>
      <c r="S133" s="119" t="s">
        <v>2985</v>
      </c>
      <c r="T133" s="119" t="s">
        <v>35</v>
      </c>
      <c r="U133" s="119" t="s">
        <v>35</v>
      </c>
      <c r="V133" s="119" t="s">
        <v>35</v>
      </c>
      <c r="W133" s="119" t="s">
        <v>35</v>
      </c>
      <c r="X133" s="119" t="s">
        <v>35</v>
      </c>
      <c r="Y133" s="119" t="s">
        <v>35</v>
      </c>
      <c r="Z133" s="119" t="s">
        <v>35</v>
      </c>
      <c r="AA133" s="119" t="s">
        <v>35</v>
      </c>
      <c r="AB133" s="119" t="s">
        <v>35</v>
      </c>
      <c r="AC133" s="119" t="s">
        <v>35</v>
      </c>
      <c r="AD133" s="119" t="s">
        <v>35</v>
      </c>
      <c r="AE133" s="119" t="s">
        <v>35</v>
      </c>
      <c r="AF133" s="119" t="s">
        <v>35</v>
      </c>
      <c r="AG133" s="119" t="s">
        <v>35</v>
      </c>
      <c r="AH133" s="119" t="s">
        <v>35</v>
      </c>
      <c r="AI133" s="119" t="s">
        <v>35</v>
      </c>
      <c r="AJ133" s="119" t="s">
        <v>35</v>
      </c>
    </row>
    <row r="134" spans="1:36" ht="18.75" customHeight="1" x14ac:dyDescent="0.25">
      <c r="A134" s="117" t="s">
        <v>132</v>
      </c>
      <c r="B134" s="119" t="s">
        <v>131</v>
      </c>
      <c r="C134" s="119" t="s">
        <v>130</v>
      </c>
      <c r="D134" s="119" t="s">
        <v>4089</v>
      </c>
      <c r="E134" s="119" t="s">
        <v>2977</v>
      </c>
      <c r="F134" s="119">
        <v>18</v>
      </c>
      <c r="G134" s="119" t="s">
        <v>4090</v>
      </c>
      <c r="H134" s="119" t="s">
        <v>4091</v>
      </c>
      <c r="I134" s="119">
        <v>881</v>
      </c>
      <c r="J134" s="120" t="s">
        <v>4092</v>
      </c>
      <c r="K134" s="120" t="s">
        <v>35</v>
      </c>
      <c r="L134" s="119" t="s">
        <v>2980</v>
      </c>
      <c r="M134" s="119" t="s">
        <v>4093</v>
      </c>
      <c r="N134" s="119" t="s">
        <v>4094</v>
      </c>
      <c r="O134" s="119" t="s">
        <v>35</v>
      </c>
      <c r="P134" s="119" t="s">
        <v>3705</v>
      </c>
      <c r="Q134" s="119" t="s">
        <v>4085</v>
      </c>
      <c r="R134" s="119" t="s">
        <v>2985</v>
      </c>
      <c r="S134" s="119" t="s">
        <v>2985</v>
      </c>
      <c r="T134" s="119" t="s">
        <v>35</v>
      </c>
      <c r="U134" s="119" t="s">
        <v>35</v>
      </c>
      <c r="V134" s="119" t="s">
        <v>35</v>
      </c>
      <c r="W134" s="119" t="s">
        <v>35</v>
      </c>
      <c r="X134" s="119" t="s">
        <v>35</v>
      </c>
      <c r="Y134" s="119" t="s">
        <v>35</v>
      </c>
      <c r="Z134" s="119" t="s">
        <v>35</v>
      </c>
      <c r="AA134" s="119" t="s">
        <v>35</v>
      </c>
      <c r="AB134" s="119" t="s">
        <v>35</v>
      </c>
      <c r="AC134" s="119" t="s">
        <v>35</v>
      </c>
      <c r="AD134" s="119" t="s">
        <v>35</v>
      </c>
      <c r="AE134" s="119" t="s">
        <v>35</v>
      </c>
      <c r="AF134" s="119" t="s">
        <v>35</v>
      </c>
      <c r="AG134" s="119" t="s">
        <v>35</v>
      </c>
      <c r="AH134" s="119" t="s">
        <v>35</v>
      </c>
      <c r="AI134" s="119" t="s">
        <v>35</v>
      </c>
      <c r="AJ134" s="119" t="s">
        <v>35</v>
      </c>
    </row>
    <row r="135" spans="1:36" ht="18.75" customHeight="1" x14ac:dyDescent="0.25">
      <c r="A135" s="117" t="s">
        <v>132</v>
      </c>
      <c r="B135" s="119" t="s">
        <v>131</v>
      </c>
      <c r="C135" s="119" t="s">
        <v>130</v>
      </c>
      <c r="D135" s="119" t="s">
        <v>4095</v>
      </c>
      <c r="E135" s="119" t="s">
        <v>2977</v>
      </c>
      <c r="F135" s="119" t="s">
        <v>312</v>
      </c>
      <c r="G135" s="119" t="s">
        <v>312</v>
      </c>
      <c r="H135" s="119" t="s">
        <v>4096</v>
      </c>
      <c r="I135" s="119">
        <v>923</v>
      </c>
      <c r="J135" s="120" t="s">
        <v>4092</v>
      </c>
      <c r="K135" s="120" t="s">
        <v>35</v>
      </c>
      <c r="L135" s="119" t="s">
        <v>2980</v>
      </c>
      <c r="M135" s="119" t="s">
        <v>4083</v>
      </c>
      <c r="N135" s="119" t="s">
        <v>4084</v>
      </c>
      <c r="O135" s="119" t="s">
        <v>35</v>
      </c>
      <c r="P135" s="119" t="s">
        <v>3016</v>
      </c>
      <c r="Q135" s="119" t="s">
        <v>4085</v>
      </c>
      <c r="R135" s="119" t="s">
        <v>2985</v>
      </c>
      <c r="S135" s="119" t="s">
        <v>2985</v>
      </c>
      <c r="T135" s="119" t="s">
        <v>35</v>
      </c>
      <c r="U135" s="119" t="s">
        <v>35</v>
      </c>
      <c r="V135" s="119" t="s">
        <v>35</v>
      </c>
      <c r="W135" s="119" t="s">
        <v>35</v>
      </c>
      <c r="X135" s="119" t="s">
        <v>35</v>
      </c>
      <c r="Y135" s="119" t="s">
        <v>35</v>
      </c>
      <c r="Z135" s="119" t="s">
        <v>35</v>
      </c>
      <c r="AA135" s="119" t="s">
        <v>35</v>
      </c>
      <c r="AB135" s="119" t="s">
        <v>35</v>
      </c>
      <c r="AC135" s="119" t="s">
        <v>35</v>
      </c>
      <c r="AD135" s="119" t="s">
        <v>35</v>
      </c>
      <c r="AE135" s="119" t="s">
        <v>35</v>
      </c>
      <c r="AF135" s="119" t="s">
        <v>35</v>
      </c>
      <c r="AG135" s="119" t="s">
        <v>35</v>
      </c>
      <c r="AH135" s="119" t="s">
        <v>35</v>
      </c>
      <c r="AI135" s="119" t="s">
        <v>35</v>
      </c>
      <c r="AJ135" s="119" t="s">
        <v>35</v>
      </c>
    </row>
    <row r="136" spans="1:36" ht="18.75" customHeight="1" x14ac:dyDescent="0.25">
      <c r="A136" s="117" t="s">
        <v>132</v>
      </c>
      <c r="B136" s="119" t="s">
        <v>131</v>
      </c>
      <c r="C136" s="119" t="s">
        <v>130</v>
      </c>
      <c r="D136" s="119" t="s">
        <v>4097</v>
      </c>
      <c r="E136" s="119" t="s">
        <v>2977</v>
      </c>
      <c r="F136" s="119" t="s">
        <v>312</v>
      </c>
      <c r="G136" s="119" t="s">
        <v>312</v>
      </c>
      <c r="H136" s="119" t="s">
        <v>4098</v>
      </c>
      <c r="I136" s="119">
        <v>222</v>
      </c>
      <c r="J136" s="120" t="s">
        <v>35</v>
      </c>
      <c r="K136" s="120" t="s">
        <v>35</v>
      </c>
      <c r="L136" s="119" t="s">
        <v>3558</v>
      </c>
      <c r="M136" s="119" t="s">
        <v>35</v>
      </c>
      <c r="N136" s="119" t="s">
        <v>35</v>
      </c>
      <c r="O136" s="119">
        <v>421</v>
      </c>
      <c r="P136" s="119" t="s">
        <v>35</v>
      </c>
      <c r="Q136" s="119" t="s">
        <v>35</v>
      </c>
      <c r="R136" s="119" t="s">
        <v>35</v>
      </c>
      <c r="S136" s="119" t="s">
        <v>35</v>
      </c>
      <c r="T136" s="119" t="s">
        <v>35</v>
      </c>
      <c r="U136" s="119" t="s">
        <v>35</v>
      </c>
      <c r="V136" s="119" t="s">
        <v>35</v>
      </c>
      <c r="W136" s="119" t="s">
        <v>35</v>
      </c>
      <c r="X136" s="119" t="s">
        <v>35</v>
      </c>
      <c r="Y136" s="119" t="s">
        <v>35</v>
      </c>
      <c r="Z136" s="119" t="s">
        <v>35</v>
      </c>
      <c r="AA136" s="119" t="s">
        <v>35</v>
      </c>
      <c r="AB136" s="119" t="s">
        <v>35</v>
      </c>
      <c r="AC136" s="119" t="s">
        <v>35</v>
      </c>
      <c r="AD136" s="119" t="s">
        <v>35</v>
      </c>
      <c r="AE136" s="119" t="s">
        <v>35</v>
      </c>
      <c r="AF136" s="119" t="s">
        <v>35</v>
      </c>
      <c r="AG136" s="119" t="s">
        <v>35</v>
      </c>
      <c r="AH136" s="119" t="s">
        <v>35</v>
      </c>
      <c r="AI136" s="119" t="s">
        <v>35</v>
      </c>
      <c r="AJ136" s="119" t="s">
        <v>35</v>
      </c>
    </row>
    <row r="137" spans="1:36" ht="18.75" customHeight="1" x14ac:dyDescent="0.25">
      <c r="A137" s="117" t="s">
        <v>132</v>
      </c>
      <c r="B137" s="119" t="s">
        <v>131</v>
      </c>
      <c r="C137" s="119" t="s">
        <v>130</v>
      </c>
      <c r="D137" s="119" t="s">
        <v>4099</v>
      </c>
      <c r="E137" s="119" t="s">
        <v>3316</v>
      </c>
      <c r="F137" s="119" t="s">
        <v>312</v>
      </c>
      <c r="G137" s="119" t="s">
        <v>312</v>
      </c>
      <c r="H137" s="119" t="s">
        <v>4100</v>
      </c>
      <c r="I137" s="119">
        <v>108</v>
      </c>
      <c r="J137" s="120" t="s">
        <v>4101</v>
      </c>
      <c r="K137" s="120" t="s">
        <v>35</v>
      </c>
      <c r="L137" s="119" t="s">
        <v>3318</v>
      </c>
      <c r="M137" s="119" t="s">
        <v>4102</v>
      </c>
      <c r="N137" s="119" t="s">
        <v>35</v>
      </c>
      <c r="O137" s="119" t="s">
        <v>35</v>
      </c>
      <c r="P137" s="119" t="s">
        <v>35</v>
      </c>
      <c r="Q137" s="119" t="s">
        <v>35</v>
      </c>
      <c r="R137" s="119" t="s">
        <v>35</v>
      </c>
      <c r="S137" s="119" t="s">
        <v>35</v>
      </c>
      <c r="T137" s="119" t="s">
        <v>35</v>
      </c>
      <c r="U137" s="119" t="s">
        <v>35</v>
      </c>
      <c r="V137" s="119" t="s">
        <v>35</v>
      </c>
      <c r="W137" s="119" t="s">
        <v>35</v>
      </c>
      <c r="X137" s="119" t="s">
        <v>35</v>
      </c>
      <c r="Y137" s="119" t="s">
        <v>35</v>
      </c>
      <c r="Z137" s="119" t="s">
        <v>35</v>
      </c>
      <c r="AA137" s="119" t="s">
        <v>35</v>
      </c>
      <c r="AB137" s="119" t="s">
        <v>35</v>
      </c>
      <c r="AC137" s="119" t="s">
        <v>35</v>
      </c>
      <c r="AD137" s="119" t="s">
        <v>35</v>
      </c>
      <c r="AE137" s="119" t="s">
        <v>35</v>
      </c>
      <c r="AF137" s="119" t="s">
        <v>35</v>
      </c>
      <c r="AG137" s="119" t="s">
        <v>35</v>
      </c>
      <c r="AH137" s="119" t="s">
        <v>35</v>
      </c>
      <c r="AI137" s="119" t="s">
        <v>35</v>
      </c>
      <c r="AJ137" s="119" t="s">
        <v>35</v>
      </c>
    </row>
    <row r="138" spans="1:36" ht="18.75" customHeight="1" x14ac:dyDescent="0.25">
      <c r="A138" s="117" t="s">
        <v>132</v>
      </c>
      <c r="B138" s="119" t="s">
        <v>131</v>
      </c>
      <c r="C138" s="119" t="s">
        <v>130</v>
      </c>
      <c r="D138" s="119" t="s">
        <v>4103</v>
      </c>
      <c r="E138" s="119" t="s">
        <v>2977</v>
      </c>
      <c r="F138" s="119">
        <v>0</v>
      </c>
      <c r="G138" s="119" t="s">
        <v>35</v>
      </c>
      <c r="H138" s="119" t="s">
        <v>4104</v>
      </c>
      <c r="I138" s="119">
        <v>141</v>
      </c>
      <c r="J138" s="120" t="s">
        <v>35</v>
      </c>
      <c r="K138" s="120" t="s">
        <v>35</v>
      </c>
      <c r="L138" s="119" t="s">
        <v>3558</v>
      </c>
      <c r="M138" s="119" t="s">
        <v>35</v>
      </c>
      <c r="N138" s="119" t="s">
        <v>35</v>
      </c>
      <c r="O138" s="119">
        <v>1638</v>
      </c>
      <c r="P138" s="119" t="s">
        <v>35</v>
      </c>
      <c r="Q138" s="119" t="s">
        <v>35</v>
      </c>
      <c r="R138" s="119" t="s">
        <v>35</v>
      </c>
      <c r="S138" s="119" t="s">
        <v>35</v>
      </c>
      <c r="T138" s="119" t="s">
        <v>35</v>
      </c>
      <c r="U138" s="119" t="s">
        <v>35</v>
      </c>
      <c r="V138" s="119" t="s">
        <v>35</v>
      </c>
      <c r="W138" s="119" t="s">
        <v>35</v>
      </c>
      <c r="X138" s="119" t="s">
        <v>35</v>
      </c>
      <c r="Y138" s="119" t="s">
        <v>35</v>
      </c>
      <c r="Z138" s="119" t="s">
        <v>35</v>
      </c>
      <c r="AA138" s="119" t="s">
        <v>35</v>
      </c>
      <c r="AB138" s="119" t="s">
        <v>35</v>
      </c>
      <c r="AC138" s="119" t="s">
        <v>35</v>
      </c>
      <c r="AD138" s="119" t="s">
        <v>35</v>
      </c>
      <c r="AE138" s="119" t="s">
        <v>35</v>
      </c>
      <c r="AF138" s="119" t="s">
        <v>35</v>
      </c>
      <c r="AG138" s="119" t="s">
        <v>35</v>
      </c>
      <c r="AH138" s="119" t="s">
        <v>35</v>
      </c>
      <c r="AI138" s="119" t="s">
        <v>35</v>
      </c>
      <c r="AJ138" s="119" t="s">
        <v>35</v>
      </c>
    </row>
    <row r="139" spans="1:36" ht="18.75" customHeight="1" x14ac:dyDescent="0.25">
      <c r="A139" s="117" t="s">
        <v>132</v>
      </c>
      <c r="B139" s="119" t="s">
        <v>131</v>
      </c>
      <c r="C139" s="119" t="s">
        <v>130</v>
      </c>
      <c r="D139" s="119" t="s">
        <v>4105</v>
      </c>
      <c r="E139" s="119" t="s">
        <v>3316</v>
      </c>
      <c r="F139" s="119" t="s">
        <v>312</v>
      </c>
      <c r="G139" s="119" t="s">
        <v>312</v>
      </c>
      <c r="H139" s="119" t="s">
        <v>4106</v>
      </c>
      <c r="I139" s="119">
        <v>79</v>
      </c>
      <c r="J139" s="120" t="s">
        <v>4107</v>
      </c>
      <c r="K139" s="120" t="s">
        <v>35</v>
      </c>
      <c r="L139" s="119" t="s">
        <v>3318</v>
      </c>
      <c r="M139" s="119" t="s">
        <v>4108</v>
      </c>
      <c r="N139" s="119" t="s">
        <v>35</v>
      </c>
      <c r="O139" s="119" t="s">
        <v>35</v>
      </c>
      <c r="P139" s="119" t="s">
        <v>35</v>
      </c>
      <c r="Q139" s="119" t="s">
        <v>35</v>
      </c>
      <c r="R139" s="119" t="s">
        <v>35</v>
      </c>
      <c r="S139" s="119" t="s">
        <v>35</v>
      </c>
      <c r="T139" s="119" t="s">
        <v>35</v>
      </c>
      <c r="U139" s="119" t="s">
        <v>35</v>
      </c>
      <c r="V139" s="119" t="s">
        <v>35</v>
      </c>
      <c r="W139" s="119" t="s">
        <v>35</v>
      </c>
      <c r="X139" s="119" t="s">
        <v>35</v>
      </c>
      <c r="Y139" s="119" t="s">
        <v>35</v>
      </c>
      <c r="Z139" s="119" t="s">
        <v>35</v>
      </c>
      <c r="AA139" s="119" t="s">
        <v>35</v>
      </c>
      <c r="AB139" s="119" t="s">
        <v>35</v>
      </c>
      <c r="AC139" s="119" t="s">
        <v>35</v>
      </c>
      <c r="AD139" s="119" t="s">
        <v>35</v>
      </c>
      <c r="AE139" s="119" t="s">
        <v>35</v>
      </c>
      <c r="AF139" s="119" t="s">
        <v>35</v>
      </c>
      <c r="AG139" s="119" t="s">
        <v>35</v>
      </c>
      <c r="AH139" s="119" t="s">
        <v>35</v>
      </c>
      <c r="AI139" s="119" t="s">
        <v>35</v>
      </c>
      <c r="AJ139" s="119" t="s">
        <v>35</v>
      </c>
    </row>
    <row r="140" spans="1:36" ht="18.75" customHeight="1" x14ac:dyDescent="0.25">
      <c r="A140" s="117" t="s">
        <v>132</v>
      </c>
      <c r="B140" s="119" t="s">
        <v>131</v>
      </c>
      <c r="C140" s="119" t="s">
        <v>130</v>
      </c>
      <c r="D140" s="119" t="s">
        <v>4109</v>
      </c>
      <c r="E140" s="119" t="s">
        <v>2977</v>
      </c>
      <c r="F140" s="119" t="s">
        <v>312</v>
      </c>
      <c r="G140" s="119" t="s">
        <v>312</v>
      </c>
      <c r="H140" s="119" t="s">
        <v>4110</v>
      </c>
      <c r="I140" s="119">
        <v>814</v>
      </c>
      <c r="J140" s="120" t="s">
        <v>4111</v>
      </c>
      <c r="K140" s="120" t="s">
        <v>35</v>
      </c>
      <c r="L140" s="119" t="s">
        <v>2980</v>
      </c>
      <c r="M140" s="119" t="s">
        <v>4093</v>
      </c>
      <c r="N140" s="119" t="s">
        <v>4094</v>
      </c>
      <c r="O140" s="119" t="s">
        <v>35</v>
      </c>
      <c r="P140" s="119" t="s">
        <v>3016</v>
      </c>
      <c r="Q140" s="119" t="s">
        <v>4112</v>
      </c>
      <c r="R140" s="119" t="s">
        <v>2985</v>
      </c>
      <c r="S140" s="119" t="s">
        <v>2985</v>
      </c>
      <c r="T140" s="119" t="s">
        <v>35</v>
      </c>
      <c r="U140" s="119" t="s">
        <v>35</v>
      </c>
      <c r="V140" s="119" t="s">
        <v>35</v>
      </c>
      <c r="W140" s="119" t="s">
        <v>35</v>
      </c>
      <c r="X140" s="119" t="s">
        <v>35</v>
      </c>
      <c r="Y140" s="119" t="s">
        <v>35</v>
      </c>
      <c r="Z140" s="119" t="s">
        <v>35</v>
      </c>
      <c r="AA140" s="119" t="s">
        <v>35</v>
      </c>
      <c r="AB140" s="119" t="s">
        <v>35</v>
      </c>
      <c r="AC140" s="119" t="s">
        <v>35</v>
      </c>
      <c r="AD140" s="119" t="s">
        <v>35</v>
      </c>
      <c r="AE140" s="119" t="s">
        <v>35</v>
      </c>
      <c r="AF140" s="119" t="s">
        <v>35</v>
      </c>
      <c r="AG140" s="119" t="s">
        <v>35</v>
      </c>
      <c r="AH140" s="119" t="s">
        <v>35</v>
      </c>
      <c r="AI140" s="119" t="s">
        <v>35</v>
      </c>
      <c r="AJ140" s="119" t="s">
        <v>35</v>
      </c>
    </row>
    <row r="141" spans="1:36" ht="18.75" customHeight="1" x14ac:dyDescent="0.25">
      <c r="A141" s="117" t="s">
        <v>132</v>
      </c>
      <c r="B141" s="119" t="s">
        <v>131</v>
      </c>
      <c r="C141" s="119" t="s">
        <v>130</v>
      </c>
      <c r="D141" s="119" t="s">
        <v>4113</v>
      </c>
      <c r="E141" s="119" t="s">
        <v>2977</v>
      </c>
      <c r="F141" s="119" t="s">
        <v>312</v>
      </c>
      <c r="G141" s="119" t="s">
        <v>312</v>
      </c>
      <c r="H141" s="119" t="s">
        <v>4114</v>
      </c>
      <c r="I141" s="119">
        <v>881</v>
      </c>
      <c r="J141" s="120" t="s">
        <v>4092</v>
      </c>
      <c r="K141" s="120" t="s">
        <v>35</v>
      </c>
      <c r="L141" s="119" t="s">
        <v>2980</v>
      </c>
      <c r="M141" s="119" t="s">
        <v>4093</v>
      </c>
      <c r="N141" s="119" t="s">
        <v>4094</v>
      </c>
      <c r="O141" s="119" t="s">
        <v>35</v>
      </c>
      <c r="P141" s="119" t="s">
        <v>3705</v>
      </c>
      <c r="Q141" s="119" t="s">
        <v>4085</v>
      </c>
      <c r="R141" s="119" t="s">
        <v>2985</v>
      </c>
      <c r="S141" s="119" t="s">
        <v>2985</v>
      </c>
      <c r="T141" s="119" t="s">
        <v>35</v>
      </c>
      <c r="U141" s="119" t="s">
        <v>35</v>
      </c>
      <c r="V141" s="119" t="s">
        <v>35</v>
      </c>
      <c r="W141" s="119" t="s">
        <v>35</v>
      </c>
      <c r="X141" s="119" t="s">
        <v>35</v>
      </c>
      <c r="Y141" s="119" t="s">
        <v>35</v>
      </c>
      <c r="Z141" s="119" t="s">
        <v>35</v>
      </c>
      <c r="AA141" s="119" t="s">
        <v>35</v>
      </c>
      <c r="AB141" s="119" t="s">
        <v>35</v>
      </c>
      <c r="AC141" s="119" t="s">
        <v>35</v>
      </c>
      <c r="AD141" s="119" t="s">
        <v>35</v>
      </c>
      <c r="AE141" s="119" t="s">
        <v>35</v>
      </c>
      <c r="AF141" s="119" t="s">
        <v>35</v>
      </c>
      <c r="AG141" s="119" t="s">
        <v>35</v>
      </c>
      <c r="AH141" s="119" t="s">
        <v>35</v>
      </c>
      <c r="AI141" s="119" t="s">
        <v>35</v>
      </c>
      <c r="AJ141" s="119" t="s">
        <v>35</v>
      </c>
    </row>
    <row r="142" spans="1:36" ht="18.75" customHeight="1" x14ac:dyDescent="0.25">
      <c r="A142" s="118" t="s">
        <v>136</v>
      </c>
      <c r="B142" s="807" t="s">
        <v>135</v>
      </c>
      <c r="C142" s="807" t="s">
        <v>134</v>
      </c>
      <c r="D142" s="807" t="s">
        <v>4115</v>
      </c>
      <c r="E142" s="807" t="s">
        <v>2977</v>
      </c>
      <c r="F142" s="807" t="s">
        <v>4116</v>
      </c>
      <c r="G142" s="807" t="s">
        <v>3111</v>
      </c>
      <c r="H142" s="807" t="s">
        <v>4117</v>
      </c>
      <c r="I142" s="807">
        <v>565</v>
      </c>
      <c r="J142" s="124" t="s">
        <v>4118</v>
      </c>
      <c r="K142" s="124" t="s">
        <v>35</v>
      </c>
      <c r="L142" s="807" t="s">
        <v>2980</v>
      </c>
      <c r="M142" s="807" t="s">
        <v>4119</v>
      </c>
      <c r="N142" s="807" t="s">
        <v>4120</v>
      </c>
      <c r="O142" s="807" t="s">
        <v>35</v>
      </c>
      <c r="P142" s="807" t="s">
        <v>4121</v>
      </c>
      <c r="Q142" s="807" t="s">
        <v>3287</v>
      </c>
      <c r="R142" s="807" t="s">
        <v>2985</v>
      </c>
      <c r="S142" s="807" t="s">
        <v>3024</v>
      </c>
      <c r="T142" s="807" t="s">
        <v>4122</v>
      </c>
      <c r="U142" s="807" t="s">
        <v>4123</v>
      </c>
      <c r="V142" s="807" t="s">
        <v>4124</v>
      </c>
      <c r="W142" s="807" t="s">
        <v>4125</v>
      </c>
      <c r="X142" s="807" t="s">
        <v>4126</v>
      </c>
      <c r="Y142" s="807" t="s">
        <v>4127</v>
      </c>
      <c r="Z142" s="807" t="s">
        <v>4128</v>
      </c>
      <c r="AA142" s="807" t="s">
        <v>4129</v>
      </c>
      <c r="AB142" s="807" t="s">
        <v>4130</v>
      </c>
      <c r="AC142" s="807" t="s">
        <v>4131</v>
      </c>
      <c r="AD142" s="807" t="s">
        <v>4132</v>
      </c>
      <c r="AE142" s="807" t="s">
        <v>4133</v>
      </c>
      <c r="AF142" s="807" t="s">
        <v>4134</v>
      </c>
      <c r="AG142" s="807" t="s">
        <v>4135</v>
      </c>
      <c r="AH142" s="807" t="s">
        <v>4136</v>
      </c>
      <c r="AI142" s="807" t="s">
        <v>4137</v>
      </c>
      <c r="AJ142" s="807" t="s">
        <v>4138</v>
      </c>
    </row>
    <row r="143" spans="1:36" ht="18.75" customHeight="1" x14ac:dyDescent="0.25">
      <c r="A143" s="118" t="s">
        <v>136</v>
      </c>
      <c r="B143" s="807" t="s">
        <v>135</v>
      </c>
      <c r="C143" s="807" t="s">
        <v>134</v>
      </c>
      <c r="D143" s="807" t="s">
        <v>4139</v>
      </c>
      <c r="E143" s="807" t="s">
        <v>2977</v>
      </c>
      <c r="F143" s="807" t="s">
        <v>4140</v>
      </c>
      <c r="G143" s="807" t="s">
        <v>3282</v>
      </c>
      <c r="H143" s="807" t="s">
        <v>4141</v>
      </c>
      <c r="I143" s="807">
        <v>565</v>
      </c>
      <c r="J143" s="124" t="s">
        <v>4101</v>
      </c>
      <c r="K143" s="124" t="s">
        <v>35</v>
      </c>
      <c r="L143" s="807" t="s">
        <v>2980</v>
      </c>
      <c r="M143" s="807" t="s">
        <v>4119</v>
      </c>
      <c r="N143" s="807" t="s">
        <v>4120</v>
      </c>
      <c r="O143" s="807" t="s">
        <v>35</v>
      </c>
      <c r="P143" s="807" t="s">
        <v>4121</v>
      </c>
      <c r="Q143" s="807" t="s">
        <v>3287</v>
      </c>
      <c r="R143" s="807" t="s">
        <v>2985</v>
      </c>
      <c r="S143" s="807" t="s">
        <v>3024</v>
      </c>
      <c r="T143" s="807" t="s">
        <v>35</v>
      </c>
      <c r="U143" s="807" t="s">
        <v>35</v>
      </c>
      <c r="V143" s="807" t="s">
        <v>35</v>
      </c>
      <c r="W143" s="807" t="s">
        <v>35</v>
      </c>
      <c r="X143" s="807" t="s">
        <v>35</v>
      </c>
      <c r="Y143" s="807" t="s">
        <v>35</v>
      </c>
      <c r="Z143" s="807" t="s">
        <v>35</v>
      </c>
      <c r="AA143" s="807" t="s">
        <v>35</v>
      </c>
      <c r="AB143" s="807" t="s">
        <v>35</v>
      </c>
      <c r="AC143" s="807" t="s">
        <v>35</v>
      </c>
      <c r="AD143" s="807" t="s">
        <v>35</v>
      </c>
      <c r="AE143" s="807" t="s">
        <v>35</v>
      </c>
      <c r="AF143" s="807" t="s">
        <v>35</v>
      </c>
      <c r="AG143" s="807" t="s">
        <v>35</v>
      </c>
      <c r="AH143" s="807" t="s">
        <v>35</v>
      </c>
      <c r="AI143" s="807" t="s">
        <v>35</v>
      </c>
      <c r="AJ143" s="807" t="s">
        <v>35</v>
      </c>
    </row>
    <row r="144" spans="1:36" ht="18.75" customHeight="1" x14ac:dyDescent="0.25">
      <c r="A144" s="118" t="s">
        <v>136</v>
      </c>
      <c r="B144" s="807" t="s">
        <v>135</v>
      </c>
      <c r="C144" s="807" t="s">
        <v>134</v>
      </c>
      <c r="D144" s="807" t="s">
        <v>4142</v>
      </c>
      <c r="E144" s="807" t="s">
        <v>2977</v>
      </c>
      <c r="F144" s="807" t="s">
        <v>4143</v>
      </c>
      <c r="G144" s="807" t="s">
        <v>3282</v>
      </c>
      <c r="H144" s="807" t="s">
        <v>4144</v>
      </c>
      <c r="I144" s="807">
        <v>585</v>
      </c>
      <c r="J144" s="124" t="s">
        <v>4145</v>
      </c>
      <c r="K144" s="124" t="s">
        <v>35</v>
      </c>
      <c r="L144" s="807" t="s">
        <v>2980</v>
      </c>
      <c r="M144" s="807" t="s">
        <v>4119</v>
      </c>
      <c r="N144" s="807" t="s">
        <v>4120</v>
      </c>
      <c r="O144" s="807" t="s">
        <v>35</v>
      </c>
      <c r="P144" s="807" t="s">
        <v>4121</v>
      </c>
      <c r="Q144" s="807" t="s">
        <v>3287</v>
      </c>
      <c r="R144" s="807" t="s">
        <v>2985</v>
      </c>
      <c r="S144" s="807" t="s">
        <v>3024</v>
      </c>
      <c r="T144" s="807" t="s">
        <v>35</v>
      </c>
      <c r="U144" s="807" t="s">
        <v>35</v>
      </c>
      <c r="V144" s="807" t="s">
        <v>35</v>
      </c>
      <c r="W144" s="807" t="s">
        <v>35</v>
      </c>
      <c r="X144" s="807" t="s">
        <v>35</v>
      </c>
      <c r="Y144" s="807" t="s">
        <v>35</v>
      </c>
      <c r="Z144" s="807" t="s">
        <v>35</v>
      </c>
      <c r="AA144" s="807" t="s">
        <v>35</v>
      </c>
      <c r="AB144" s="807" t="s">
        <v>35</v>
      </c>
      <c r="AC144" s="807" t="s">
        <v>35</v>
      </c>
      <c r="AD144" s="807" t="s">
        <v>35</v>
      </c>
      <c r="AE144" s="807" t="s">
        <v>35</v>
      </c>
      <c r="AF144" s="807" t="s">
        <v>35</v>
      </c>
      <c r="AG144" s="807" t="s">
        <v>35</v>
      </c>
      <c r="AH144" s="807" t="s">
        <v>35</v>
      </c>
      <c r="AI144" s="807" t="s">
        <v>35</v>
      </c>
      <c r="AJ144" s="807" t="s">
        <v>35</v>
      </c>
    </row>
    <row r="145" spans="1:36" ht="18.75" customHeight="1" x14ac:dyDescent="0.25">
      <c r="A145" s="118" t="s">
        <v>136</v>
      </c>
      <c r="B145" s="807" t="s">
        <v>135</v>
      </c>
      <c r="C145" s="807" t="s">
        <v>134</v>
      </c>
      <c r="D145" s="807" t="s">
        <v>4146</v>
      </c>
      <c r="E145" s="807" t="s">
        <v>2977</v>
      </c>
      <c r="F145" s="807" t="s">
        <v>312</v>
      </c>
      <c r="G145" s="807" t="s">
        <v>312</v>
      </c>
      <c r="H145" s="807" t="s">
        <v>4147</v>
      </c>
      <c r="I145" s="807">
        <v>123</v>
      </c>
      <c r="J145" s="124" t="s">
        <v>3078</v>
      </c>
      <c r="K145" s="124" t="s">
        <v>35</v>
      </c>
      <c r="L145" s="807" t="s">
        <v>2980</v>
      </c>
      <c r="M145" s="807" t="s">
        <v>4148</v>
      </c>
      <c r="N145" s="807" t="s">
        <v>4149</v>
      </c>
      <c r="O145" s="807" t="s">
        <v>35</v>
      </c>
      <c r="P145" s="807" t="s">
        <v>4150</v>
      </c>
      <c r="Q145" s="807" t="s">
        <v>3287</v>
      </c>
      <c r="R145" s="807" t="s">
        <v>2985</v>
      </c>
      <c r="S145" s="807" t="s">
        <v>35</v>
      </c>
      <c r="T145" s="807" t="s">
        <v>35</v>
      </c>
      <c r="U145" s="807" t="s">
        <v>35</v>
      </c>
      <c r="V145" s="807" t="s">
        <v>35</v>
      </c>
      <c r="W145" s="807" t="s">
        <v>35</v>
      </c>
      <c r="X145" s="807" t="s">
        <v>35</v>
      </c>
      <c r="Y145" s="807" t="s">
        <v>35</v>
      </c>
      <c r="Z145" s="807" t="s">
        <v>35</v>
      </c>
      <c r="AA145" s="807" t="s">
        <v>35</v>
      </c>
      <c r="AB145" s="807" t="s">
        <v>35</v>
      </c>
      <c r="AC145" s="807" t="s">
        <v>35</v>
      </c>
      <c r="AD145" s="807" t="s">
        <v>35</v>
      </c>
      <c r="AE145" s="807" t="s">
        <v>35</v>
      </c>
      <c r="AF145" s="807" t="s">
        <v>35</v>
      </c>
      <c r="AG145" s="807" t="s">
        <v>35</v>
      </c>
      <c r="AH145" s="807" t="s">
        <v>35</v>
      </c>
      <c r="AI145" s="807" t="s">
        <v>35</v>
      </c>
      <c r="AJ145" s="807" t="s">
        <v>35</v>
      </c>
    </row>
    <row r="146" spans="1:36" ht="18.75" customHeight="1" x14ac:dyDescent="0.25">
      <c r="A146" s="117" t="s">
        <v>939</v>
      </c>
      <c r="B146" s="119" t="s">
        <v>139</v>
      </c>
      <c r="C146" s="119" t="s">
        <v>138</v>
      </c>
      <c r="D146" s="119" t="s">
        <v>4151</v>
      </c>
      <c r="E146" s="119" t="s">
        <v>2977</v>
      </c>
      <c r="F146" s="119" t="s">
        <v>312</v>
      </c>
      <c r="G146" s="119" t="s">
        <v>312</v>
      </c>
      <c r="H146" s="119" t="s">
        <v>4152</v>
      </c>
      <c r="I146" s="119">
        <v>766</v>
      </c>
      <c r="J146" s="120" t="s">
        <v>4153</v>
      </c>
      <c r="K146" s="120" t="s">
        <v>35</v>
      </c>
      <c r="L146" s="119" t="s">
        <v>2980</v>
      </c>
      <c r="M146" s="119" t="s">
        <v>4154</v>
      </c>
      <c r="N146" s="119" t="s">
        <v>4155</v>
      </c>
      <c r="O146" s="119" t="s">
        <v>35</v>
      </c>
      <c r="P146" s="119" t="s">
        <v>4156</v>
      </c>
      <c r="Q146" s="119" t="s">
        <v>3117</v>
      </c>
      <c r="R146" s="119" t="s">
        <v>7</v>
      </c>
      <c r="S146" s="119" t="s">
        <v>7</v>
      </c>
      <c r="T146" s="119" t="s">
        <v>4157</v>
      </c>
      <c r="U146" s="119" t="s">
        <v>3055</v>
      </c>
      <c r="V146" s="119" t="s">
        <v>4158</v>
      </c>
      <c r="W146" s="119" t="s">
        <v>3066</v>
      </c>
      <c r="X146" s="119" t="s">
        <v>4159</v>
      </c>
      <c r="Y146" s="119" t="s">
        <v>4160</v>
      </c>
      <c r="Z146" s="119" t="s">
        <v>4161</v>
      </c>
      <c r="AA146" s="119" t="s">
        <v>4162</v>
      </c>
      <c r="AB146" s="119" t="s">
        <v>4163</v>
      </c>
      <c r="AC146" s="119" t="s">
        <v>4164</v>
      </c>
      <c r="AD146" s="119" t="s">
        <v>4165</v>
      </c>
      <c r="AE146" s="119" t="s">
        <v>4166</v>
      </c>
      <c r="AF146" s="119" t="s">
        <v>3066</v>
      </c>
      <c r="AG146" s="119" t="s">
        <v>4167</v>
      </c>
      <c r="AH146" s="119" t="s">
        <v>4168</v>
      </c>
      <c r="AI146" s="119" t="s">
        <v>4169</v>
      </c>
      <c r="AJ146" s="119" t="s">
        <v>4170</v>
      </c>
    </row>
    <row r="147" spans="1:36" ht="18.75" customHeight="1" x14ac:dyDescent="0.25">
      <c r="A147" s="117" t="s">
        <v>939</v>
      </c>
      <c r="B147" s="119" t="s">
        <v>139</v>
      </c>
      <c r="C147" s="119" t="s">
        <v>138</v>
      </c>
      <c r="D147" s="119" t="s">
        <v>4171</v>
      </c>
      <c r="E147" s="119" t="s">
        <v>2977</v>
      </c>
      <c r="F147" s="119" t="s">
        <v>312</v>
      </c>
      <c r="G147" s="119" t="s">
        <v>312</v>
      </c>
      <c r="H147" s="119" t="s">
        <v>4172</v>
      </c>
      <c r="I147" s="119">
        <v>681</v>
      </c>
      <c r="J147" s="120" t="s">
        <v>4153</v>
      </c>
      <c r="K147" s="120" t="s">
        <v>35</v>
      </c>
      <c r="L147" s="119" t="s">
        <v>2980</v>
      </c>
      <c r="M147" s="119" t="s">
        <v>4154</v>
      </c>
      <c r="N147" s="119" t="s">
        <v>4155</v>
      </c>
      <c r="O147" s="119" t="s">
        <v>35</v>
      </c>
      <c r="P147" s="119" t="s">
        <v>4173</v>
      </c>
      <c r="Q147" s="119" t="s">
        <v>3117</v>
      </c>
      <c r="R147" s="119" t="s">
        <v>7</v>
      </c>
      <c r="S147" s="119" t="s">
        <v>7</v>
      </c>
      <c r="T147" s="119" t="s">
        <v>35</v>
      </c>
      <c r="U147" s="119" t="s">
        <v>35</v>
      </c>
      <c r="V147" s="119" t="s">
        <v>35</v>
      </c>
      <c r="W147" s="119" t="s">
        <v>35</v>
      </c>
      <c r="X147" s="119" t="s">
        <v>35</v>
      </c>
      <c r="Y147" s="119" t="s">
        <v>35</v>
      </c>
      <c r="Z147" s="119" t="s">
        <v>35</v>
      </c>
      <c r="AA147" s="119" t="s">
        <v>35</v>
      </c>
      <c r="AB147" s="119" t="s">
        <v>35</v>
      </c>
      <c r="AC147" s="119" t="s">
        <v>35</v>
      </c>
      <c r="AD147" s="119" t="s">
        <v>35</v>
      </c>
      <c r="AE147" s="119" t="s">
        <v>35</v>
      </c>
      <c r="AF147" s="119" t="s">
        <v>35</v>
      </c>
      <c r="AG147" s="119" t="s">
        <v>35</v>
      </c>
      <c r="AH147" s="119" t="s">
        <v>35</v>
      </c>
      <c r="AI147" s="119" t="s">
        <v>35</v>
      </c>
      <c r="AJ147" s="119" t="s">
        <v>35</v>
      </c>
    </row>
    <row r="148" spans="1:36" ht="18.75" customHeight="1" x14ac:dyDescent="0.25">
      <c r="A148" s="117" t="s">
        <v>939</v>
      </c>
      <c r="B148" s="119" t="s">
        <v>139</v>
      </c>
      <c r="C148" s="119" t="s">
        <v>138</v>
      </c>
      <c r="D148" s="119" t="s">
        <v>4174</v>
      </c>
      <c r="E148" s="119" t="s">
        <v>2977</v>
      </c>
      <c r="F148" s="119">
        <v>0</v>
      </c>
      <c r="G148" s="119" t="s">
        <v>35</v>
      </c>
      <c r="H148" s="119" t="s">
        <v>4175</v>
      </c>
      <c r="I148" s="119">
        <v>723</v>
      </c>
      <c r="J148" s="120" t="s">
        <v>4176</v>
      </c>
      <c r="K148" s="120" t="s">
        <v>35</v>
      </c>
      <c r="L148" s="119" t="s">
        <v>2980</v>
      </c>
      <c r="M148" s="119" t="s">
        <v>4154</v>
      </c>
      <c r="N148" s="119" t="s">
        <v>4155</v>
      </c>
      <c r="O148" s="119" t="s">
        <v>35</v>
      </c>
      <c r="P148" s="119" t="s">
        <v>4177</v>
      </c>
      <c r="Q148" s="119" t="s">
        <v>3117</v>
      </c>
      <c r="R148" s="119" t="s">
        <v>7</v>
      </c>
      <c r="S148" s="119" t="s">
        <v>7</v>
      </c>
      <c r="T148" s="119" t="s">
        <v>35</v>
      </c>
      <c r="U148" s="119" t="s">
        <v>35</v>
      </c>
      <c r="V148" s="119" t="s">
        <v>35</v>
      </c>
      <c r="W148" s="119" t="s">
        <v>35</v>
      </c>
      <c r="X148" s="119" t="s">
        <v>35</v>
      </c>
      <c r="Y148" s="119" t="s">
        <v>35</v>
      </c>
      <c r="Z148" s="119" t="s">
        <v>35</v>
      </c>
      <c r="AA148" s="119" t="s">
        <v>35</v>
      </c>
      <c r="AB148" s="119" t="s">
        <v>35</v>
      </c>
      <c r="AC148" s="119" t="s">
        <v>35</v>
      </c>
      <c r="AD148" s="119" t="s">
        <v>35</v>
      </c>
      <c r="AE148" s="119" t="s">
        <v>35</v>
      </c>
      <c r="AF148" s="119" t="s">
        <v>35</v>
      </c>
      <c r="AG148" s="119" t="s">
        <v>35</v>
      </c>
      <c r="AH148" s="119" t="s">
        <v>35</v>
      </c>
      <c r="AI148" s="119" t="s">
        <v>35</v>
      </c>
      <c r="AJ148" s="119" t="s">
        <v>35</v>
      </c>
    </row>
    <row r="149" spans="1:36" ht="18.75" customHeight="1" x14ac:dyDescent="0.25">
      <c r="A149" s="117" t="s">
        <v>939</v>
      </c>
      <c r="B149" s="119" t="s">
        <v>139</v>
      </c>
      <c r="C149" s="119" t="s">
        <v>138</v>
      </c>
      <c r="D149" s="119" t="s">
        <v>4178</v>
      </c>
      <c r="E149" s="119" t="s">
        <v>2977</v>
      </c>
      <c r="F149" s="119" t="s">
        <v>4179</v>
      </c>
      <c r="G149" s="119" t="s">
        <v>4180</v>
      </c>
      <c r="H149" s="119" t="s">
        <v>4181</v>
      </c>
      <c r="I149" s="119">
        <v>766</v>
      </c>
      <c r="J149" s="120" t="s">
        <v>4153</v>
      </c>
      <c r="K149" s="120" t="s">
        <v>35</v>
      </c>
      <c r="L149" s="119" t="s">
        <v>2980</v>
      </c>
      <c r="M149" s="119" t="s">
        <v>4154</v>
      </c>
      <c r="N149" s="119" t="s">
        <v>4155</v>
      </c>
      <c r="O149" s="119" t="s">
        <v>35</v>
      </c>
      <c r="P149" s="119" t="s">
        <v>4156</v>
      </c>
      <c r="Q149" s="119" t="s">
        <v>3117</v>
      </c>
      <c r="R149" s="119" t="s">
        <v>7</v>
      </c>
      <c r="S149" s="119" t="s">
        <v>7</v>
      </c>
      <c r="T149" s="119" t="s">
        <v>35</v>
      </c>
      <c r="U149" s="119" t="s">
        <v>35</v>
      </c>
      <c r="V149" s="119" t="s">
        <v>35</v>
      </c>
      <c r="W149" s="119" t="s">
        <v>35</v>
      </c>
      <c r="X149" s="119" t="s">
        <v>35</v>
      </c>
      <c r="Y149" s="119" t="s">
        <v>35</v>
      </c>
      <c r="Z149" s="119" t="s">
        <v>35</v>
      </c>
      <c r="AA149" s="119" t="s">
        <v>35</v>
      </c>
      <c r="AB149" s="119" t="s">
        <v>35</v>
      </c>
      <c r="AC149" s="119" t="s">
        <v>35</v>
      </c>
      <c r="AD149" s="119" t="s">
        <v>35</v>
      </c>
      <c r="AE149" s="119" t="s">
        <v>35</v>
      </c>
      <c r="AF149" s="119" t="s">
        <v>35</v>
      </c>
      <c r="AG149" s="119" t="s">
        <v>35</v>
      </c>
      <c r="AH149" s="119" t="s">
        <v>35</v>
      </c>
      <c r="AI149" s="119" t="s">
        <v>35</v>
      </c>
      <c r="AJ149" s="119" t="s">
        <v>35</v>
      </c>
    </row>
    <row r="150" spans="1:36" ht="18.75" customHeight="1" x14ac:dyDescent="0.25">
      <c r="A150" s="117" t="s">
        <v>939</v>
      </c>
      <c r="B150" s="119" t="s">
        <v>139</v>
      </c>
      <c r="C150" s="119" t="s">
        <v>138</v>
      </c>
      <c r="D150" s="119" t="s">
        <v>4182</v>
      </c>
      <c r="E150" s="119" t="s">
        <v>3316</v>
      </c>
      <c r="F150" s="119" t="s">
        <v>3817</v>
      </c>
      <c r="G150" s="119" t="s">
        <v>3111</v>
      </c>
      <c r="H150" s="119" t="s">
        <v>4183</v>
      </c>
      <c r="I150" s="119">
        <v>145</v>
      </c>
      <c r="J150" s="120" t="s">
        <v>35</v>
      </c>
      <c r="K150" s="120" t="s">
        <v>35</v>
      </c>
      <c r="L150" s="119" t="s">
        <v>3453</v>
      </c>
      <c r="M150" s="119" t="s">
        <v>35</v>
      </c>
      <c r="N150" s="119" t="s">
        <v>35</v>
      </c>
      <c r="O150" s="119">
        <v>173</v>
      </c>
      <c r="P150" s="119" t="s">
        <v>35</v>
      </c>
      <c r="Q150" s="119" t="s">
        <v>35</v>
      </c>
      <c r="R150" s="119" t="s">
        <v>35</v>
      </c>
      <c r="S150" s="119" t="s">
        <v>35</v>
      </c>
      <c r="T150" s="119" t="s">
        <v>35</v>
      </c>
      <c r="U150" s="119" t="s">
        <v>35</v>
      </c>
      <c r="V150" s="119" t="s">
        <v>35</v>
      </c>
      <c r="W150" s="119" t="s">
        <v>35</v>
      </c>
      <c r="X150" s="119" t="s">
        <v>35</v>
      </c>
      <c r="Y150" s="119" t="s">
        <v>35</v>
      </c>
      <c r="Z150" s="119" t="s">
        <v>35</v>
      </c>
      <c r="AA150" s="119" t="s">
        <v>35</v>
      </c>
      <c r="AB150" s="119" t="s">
        <v>35</v>
      </c>
      <c r="AC150" s="119" t="s">
        <v>35</v>
      </c>
      <c r="AD150" s="119" t="s">
        <v>35</v>
      </c>
      <c r="AE150" s="119" t="s">
        <v>35</v>
      </c>
      <c r="AF150" s="119" t="s">
        <v>35</v>
      </c>
      <c r="AG150" s="119" t="s">
        <v>35</v>
      </c>
      <c r="AH150" s="119" t="s">
        <v>35</v>
      </c>
      <c r="AI150" s="119" t="s">
        <v>35</v>
      </c>
      <c r="AJ150" s="119" t="s">
        <v>35</v>
      </c>
    </row>
    <row r="151" spans="1:36" ht="18.75" customHeight="1" x14ac:dyDescent="0.25">
      <c r="A151" s="117" t="s">
        <v>939</v>
      </c>
      <c r="B151" s="119" t="s">
        <v>139</v>
      </c>
      <c r="C151" s="119" t="s">
        <v>138</v>
      </c>
      <c r="D151" s="119" t="s">
        <v>4184</v>
      </c>
      <c r="E151" s="119" t="s">
        <v>2977</v>
      </c>
      <c r="F151" s="119" t="s">
        <v>312</v>
      </c>
      <c r="G151" s="119" t="s">
        <v>312</v>
      </c>
      <c r="H151" s="119" t="s">
        <v>4185</v>
      </c>
      <c r="I151" s="119">
        <v>769</v>
      </c>
      <c r="J151" s="120" t="s">
        <v>4153</v>
      </c>
      <c r="K151" s="120" t="s">
        <v>35</v>
      </c>
      <c r="L151" s="119" t="s">
        <v>2980</v>
      </c>
      <c r="M151" s="119" t="s">
        <v>4154</v>
      </c>
      <c r="N151" s="119" t="s">
        <v>4155</v>
      </c>
      <c r="O151" s="119" t="s">
        <v>35</v>
      </c>
      <c r="P151" s="119" t="s">
        <v>3366</v>
      </c>
      <c r="Q151" s="119" t="s">
        <v>3117</v>
      </c>
      <c r="R151" s="119" t="s">
        <v>7</v>
      </c>
      <c r="S151" s="119" t="s">
        <v>7</v>
      </c>
      <c r="T151" s="119" t="s">
        <v>35</v>
      </c>
      <c r="U151" s="119" t="s">
        <v>35</v>
      </c>
      <c r="V151" s="119" t="s">
        <v>35</v>
      </c>
      <c r="W151" s="119" t="s">
        <v>35</v>
      </c>
      <c r="X151" s="119" t="s">
        <v>35</v>
      </c>
      <c r="Y151" s="119" t="s">
        <v>35</v>
      </c>
      <c r="Z151" s="119" t="s">
        <v>35</v>
      </c>
      <c r="AA151" s="119" t="s">
        <v>35</v>
      </c>
      <c r="AB151" s="119" t="s">
        <v>35</v>
      </c>
      <c r="AC151" s="119" t="s">
        <v>35</v>
      </c>
      <c r="AD151" s="119" t="s">
        <v>35</v>
      </c>
      <c r="AE151" s="119" t="s">
        <v>35</v>
      </c>
      <c r="AF151" s="119" t="s">
        <v>35</v>
      </c>
      <c r="AG151" s="119" t="s">
        <v>35</v>
      </c>
      <c r="AH151" s="119" t="s">
        <v>35</v>
      </c>
      <c r="AI151" s="119" t="s">
        <v>35</v>
      </c>
      <c r="AJ151" s="119" t="s">
        <v>35</v>
      </c>
    </row>
    <row r="152" spans="1:36" ht="18.75" customHeight="1" x14ac:dyDescent="0.25">
      <c r="A152" s="117" t="s">
        <v>939</v>
      </c>
      <c r="B152" s="119" t="s">
        <v>139</v>
      </c>
      <c r="C152" s="119" t="s">
        <v>138</v>
      </c>
      <c r="D152" s="119" t="s">
        <v>4186</v>
      </c>
      <c r="E152" s="119" t="s">
        <v>2977</v>
      </c>
      <c r="F152" s="119" t="s">
        <v>312</v>
      </c>
      <c r="G152" s="119" t="s">
        <v>312</v>
      </c>
      <c r="H152" s="119" t="s">
        <v>4187</v>
      </c>
      <c r="I152" s="119">
        <v>683</v>
      </c>
      <c r="J152" s="120" t="s">
        <v>4153</v>
      </c>
      <c r="K152" s="120" t="s">
        <v>35</v>
      </c>
      <c r="L152" s="119" t="s">
        <v>2980</v>
      </c>
      <c r="M152" s="119" t="s">
        <v>4154</v>
      </c>
      <c r="N152" s="119" t="s">
        <v>4155</v>
      </c>
      <c r="O152" s="119" t="s">
        <v>35</v>
      </c>
      <c r="P152" s="119" t="s">
        <v>4188</v>
      </c>
      <c r="Q152" s="119" t="s">
        <v>3389</v>
      </c>
      <c r="R152" s="119" t="s">
        <v>7</v>
      </c>
      <c r="S152" s="119" t="s">
        <v>7</v>
      </c>
      <c r="T152" s="119" t="s">
        <v>35</v>
      </c>
      <c r="U152" s="119" t="s">
        <v>35</v>
      </c>
      <c r="V152" s="119" t="s">
        <v>35</v>
      </c>
      <c r="W152" s="119" t="s">
        <v>35</v>
      </c>
      <c r="X152" s="119" t="s">
        <v>35</v>
      </c>
      <c r="Y152" s="119" t="s">
        <v>35</v>
      </c>
      <c r="Z152" s="119" t="s">
        <v>35</v>
      </c>
      <c r="AA152" s="119" t="s">
        <v>35</v>
      </c>
      <c r="AB152" s="119" t="s">
        <v>35</v>
      </c>
      <c r="AC152" s="119" t="s">
        <v>35</v>
      </c>
      <c r="AD152" s="119" t="s">
        <v>35</v>
      </c>
      <c r="AE152" s="119" t="s">
        <v>35</v>
      </c>
      <c r="AF152" s="119" t="s">
        <v>35</v>
      </c>
      <c r="AG152" s="119" t="s">
        <v>35</v>
      </c>
      <c r="AH152" s="119" t="s">
        <v>35</v>
      </c>
      <c r="AI152" s="119" t="s">
        <v>35</v>
      </c>
      <c r="AJ152" s="119" t="s">
        <v>35</v>
      </c>
    </row>
    <row r="153" spans="1:36" ht="18.75" customHeight="1" x14ac:dyDescent="0.25">
      <c r="A153" s="117" t="s">
        <v>939</v>
      </c>
      <c r="B153" s="119" t="s">
        <v>139</v>
      </c>
      <c r="C153" s="119" t="s">
        <v>138</v>
      </c>
      <c r="D153" s="119" t="s">
        <v>4189</v>
      </c>
      <c r="E153" s="119" t="s">
        <v>3316</v>
      </c>
      <c r="F153" s="119" t="s">
        <v>312</v>
      </c>
      <c r="G153" s="119" t="s">
        <v>312</v>
      </c>
      <c r="H153" s="119" t="s">
        <v>4190</v>
      </c>
      <c r="I153" s="119">
        <v>272</v>
      </c>
      <c r="J153" s="120" t="s">
        <v>4191</v>
      </c>
      <c r="K153" s="120" t="s">
        <v>35</v>
      </c>
      <c r="L153" s="119" t="s">
        <v>3459</v>
      </c>
      <c r="M153" s="119" t="s">
        <v>4154</v>
      </c>
      <c r="N153" s="119" t="s">
        <v>4155</v>
      </c>
      <c r="O153" s="119" t="s">
        <v>35</v>
      </c>
      <c r="P153" s="119" t="s">
        <v>4192</v>
      </c>
      <c r="Q153" s="119" t="s">
        <v>3798</v>
      </c>
      <c r="R153" s="119" t="s">
        <v>7</v>
      </c>
      <c r="S153" s="119" t="s">
        <v>7</v>
      </c>
      <c r="T153" s="119" t="s">
        <v>35</v>
      </c>
      <c r="U153" s="119" t="s">
        <v>35</v>
      </c>
      <c r="V153" s="119" t="s">
        <v>35</v>
      </c>
      <c r="W153" s="119" t="s">
        <v>35</v>
      </c>
      <c r="X153" s="119" t="s">
        <v>35</v>
      </c>
      <c r="Y153" s="119" t="s">
        <v>35</v>
      </c>
      <c r="Z153" s="119" t="s">
        <v>35</v>
      </c>
      <c r="AA153" s="119" t="s">
        <v>35</v>
      </c>
      <c r="AB153" s="119" t="s">
        <v>35</v>
      </c>
      <c r="AC153" s="119" t="s">
        <v>35</v>
      </c>
      <c r="AD153" s="119" t="s">
        <v>35</v>
      </c>
      <c r="AE153" s="119" t="s">
        <v>35</v>
      </c>
      <c r="AF153" s="119" t="s">
        <v>35</v>
      </c>
      <c r="AG153" s="119" t="s">
        <v>35</v>
      </c>
      <c r="AH153" s="119" t="s">
        <v>35</v>
      </c>
      <c r="AI153" s="119" t="s">
        <v>35</v>
      </c>
      <c r="AJ153" s="119" t="s">
        <v>35</v>
      </c>
    </row>
    <row r="154" spans="1:36" ht="18.75" customHeight="1" x14ac:dyDescent="0.25">
      <c r="A154" s="117" t="s">
        <v>939</v>
      </c>
      <c r="B154" s="119" t="s">
        <v>139</v>
      </c>
      <c r="C154" s="119" t="s">
        <v>138</v>
      </c>
      <c r="D154" s="119" t="s">
        <v>4193</v>
      </c>
      <c r="E154" s="119" t="s">
        <v>2977</v>
      </c>
      <c r="F154" s="119" t="s">
        <v>3700</v>
      </c>
      <c r="G154" s="119" t="s">
        <v>4194</v>
      </c>
      <c r="H154" s="119" t="s">
        <v>4195</v>
      </c>
      <c r="I154" s="119">
        <v>703</v>
      </c>
      <c r="J154" s="120" t="s">
        <v>4176</v>
      </c>
      <c r="K154" s="120" t="s">
        <v>35</v>
      </c>
      <c r="L154" s="119" t="s">
        <v>2980</v>
      </c>
      <c r="M154" s="119" t="s">
        <v>4154</v>
      </c>
      <c r="N154" s="119" t="s">
        <v>4155</v>
      </c>
      <c r="O154" s="119" t="s">
        <v>35</v>
      </c>
      <c r="P154" s="119" t="s">
        <v>4196</v>
      </c>
      <c r="Q154" s="119" t="s">
        <v>3117</v>
      </c>
      <c r="R154" s="119" t="s">
        <v>7</v>
      </c>
      <c r="S154" s="119" t="s">
        <v>7</v>
      </c>
      <c r="T154" s="119" t="s">
        <v>35</v>
      </c>
      <c r="U154" s="119" t="s">
        <v>35</v>
      </c>
      <c r="V154" s="119" t="s">
        <v>35</v>
      </c>
      <c r="W154" s="119" t="s">
        <v>35</v>
      </c>
      <c r="X154" s="119" t="s">
        <v>35</v>
      </c>
      <c r="Y154" s="119" t="s">
        <v>35</v>
      </c>
      <c r="Z154" s="119" t="s">
        <v>35</v>
      </c>
      <c r="AA154" s="119" t="s">
        <v>35</v>
      </c>
      <c r="AB154" s="119" t="s">
        <v>35</v>
      </c>
      <c r="AC154" s="119" t="s">
        <v>35</v>
      </c>
      <c r="AD154" s="119" t="s">
        <v>35</v>
      </c>
      <c r="AE154" s="119" t="s">
        <v>35</v>
      </c>
      <c r="AF154" s="119" t="s">
        <v>35</v>
      </c>
      <c r="AG154" s="119" t="s">
        <v>35</v>
      </c>
      <c r="AH154" s="119" t="s">
        <v>35</v>
      </c>
      <c r="AI154" s="119" t="s">
        <v>35</v>
      </c>
      <c r="AJ154" s="119" t="s">
        <v>35</v>
      </c>
    </row>
    <row r="155" spans="1:36" ht="18.75" customHeight="1" x14ac:dyDescent="0.25">
      <c r="A155" s="117" t="s">
        <v>939</v>
      </c>
      <c r="B155" s="119" t="s">
        <v>139</v>
      </c>
      <c r="C155" s="119" t="s">
        <v>138</v>
      </c>
      <c r="D155" s="119" t="s">
        <v>4197</v>
      </c>
      <c r="E155" s="119" t="s">
        <v>2977</v>
      </c>
      <c r="F155" s="119" t="s">
        <v>3485</v>
      </c>
      <c r="G155" s="119" t="s">
        <v>3136</v>
      </c>
      <c r="H155" s="119" t="s">
        <v>4198</v>
      </c>
      <c r="I155" s="119">
        <v>766</v>
      </c>
      <c r="J155" s="120" t="s">
        <v>4153</v>
      </c>
      <c r="K155" s="120" t="s">
        <v>35</v>
      </c>
      <c r="L155" s="119" t="s">
        <v>2980</v>
      </c>
      <c r="M155" s="119" t="s">
        <v>4154</v>
      </c>
      <c r="N155" s="119" t="s">
        <v>4155</v>
      </c>
      <c r="O155" s="119" t="s">
        <v>35</v>
      </c>
      <c r="P155" s="119" t="s">
        <v>4156</v>
      </c>
      <c r="Q155" s="119" t="s">
        <v>3117</v>
      </c>
      <c r="R155" s="119" t="s">
        <v>7</v>
      </c>
      <c r="S155" s="119" t="s">
        <v>7</v>
      </c>
      <c r="T155" s="119" t="s">
        <v>35</v>
      </c>
      <c r="U155" s="119" t="s">
        <v>35</v>
      </c>
      <c r="V155" s="119" t="s">
        <v>35</v>
      </c>
      <c r="W155" s="119" t="s">
        <v>35</v>
      </c>
      <c r="X155" s="119" t="s">
        <v>35</v>
      </c>
      <c r="Y155" s="119" t="s">
        <v>35</v>
      </c>
      <c r="Z155" s="119" t="s">
        <v>35</v>
      </c>
      <c r="AA155" s="119" t="s">
        <v>35</v>
      </c>
      <c r="AB155" s="119" t="s">
        <v>35</v>
      </c>
      <c r="AC155" s="119" t="s">
        <v>35</v>
      </c>
      <c r="AD155" s="119" t="s">
        <v>35</v>
      </c>
      <c r="AE155" s="119" t="s">
        <v>35</v>
      </c>
      <c r="AF155" s="119" t="s">
        <v>35</v>
      </c>
      <c r="AG155" s="119" t="s">
        <v>35</v>
      </c>
      <c r="AH155" s="119" t="s">
        <v>35</v>
      </c>
      <c r="AI155" s="119" t="s">
        <v>35</v>
      </c>
      <c r="AJ155" s="119" t="s">
        <v>35</v>
      </c>
    </row>
    <row r="156" spans="1:36" ht="18.75" customHeight="1" x14ac:dyDescent="0.25">
      <c r="A156" s="117" t="s">
        <v>939</v>
      </c>
      <c r="B156" s="119" t="s">
        <v>139</v>
      </c>
      <c r="C156" s="119" t="s">
        <v>138</v>
      </c>
      <c r="D156" s="119" t="s">
        <v>4199</v>
      </c>
      <c r="E156" s="119" t="s">
        <v>2977</v>
      </c>
      <c r="F156" s="119" t="s">
        <v>312</v>
      </c>
      <c r="G156" s="119" t="s">
        <v>312</v>
      </c>
      <c r="H156" s="119" t="s">
        <v>4200</v>
      </c>
      <c r="I156" s="119">
        <v>65</v>
      </c>
      <c r="J156" s="120" t="s">
        <v>35</v>
      </c>
      <c r="K156" s="120" t="s">
        <v>35</v>
      </c>
      <c r="L156" s="119" t="s">
        <v>3558</v>
      </c>
      <c r="M156" s="119" t="s">
        <v>35</v>
      </c>
      <c r="N156" s="119" t="s">
        <v>35</v>
      </c>
      <c r="O156" s="119">
        <v>79</v>
      </c>
      <c r="P156" s="119" t="s">
        <v>35</v>
      </c>
      <c r="Q156" s="119" t="s">
        <v>35</v>
      </c>
      <c r="R156" s="119" t="s">
        <v>35</v>
      </c>
      <c r="S156" s="119" t="s">
        <v>35</v>
      </c>
      <c r="T156" s="119" t="s">
        <v>35</v>
      </c>
      <c r="U156" s="119" t="s">
        <v>35</v>
      </c>
      <c r="V156" s="119" t="s">
        <v>35</v>
      </c>
      <c r="W156" s="119" t="s">
        <v>35</v>
      </c>
      <c r="X156" s="119" t="s">
        <v>35</v>
      </c>
      <c r="Y156" s="119" t="s">
        <v>35</v>
      </c>
      <c r="Z156" s="119" t="s">
        <v>35</v>
      </c>
      <c r="AA156" s="119" t="s">
        <v>35</v>
      </c>
      <c r="AB156" s="119" t="s">
        <v>35</v>
      </c>
      <c r="AC156" s="119" t="s">
        <v>35</v>
      </c>
      <c r="AD156" s="119" t="s">
        <v>35</v>
      </c>
      <c r="AE156" s="119" t="s">
        <v>35</v>
      </c>
      <c r="AF156" s="119" t="s">
        <v>35</v>
      </c>
      <c r="AG156" s="119" t="s">
        <v>35</v>
      </c>
      <c r="AH156" s="119" t="s">
        <v>35</v>
      </c>
      <c r="AI156" s="119" t="s">
        <v>35</v>
      </c>
      <c r="AJ156" s="119" t="s">
        <v>35</v>
      </c>
    </row>
    <row r="157" spans="1:36" ht="18.75" customHeight="1" x14ac:dyDescent="0.25">
      <c r="A157" s="118" t="s">
        <v>940</v>
      </c>
      <c r="B157" s="807" t="s">
        <v>143</v>
      </c>
      <c r="C157" s="807" t="s">
        <v>142</v>
      </c>
      <c r="D157" s="807" t="s">
        <v>4201</v>
      </c>
      <c r="E157" s="807" t="s">
        <v>2977</v>
      </c>
      <c r="F157" s="807" t="s">
        <v>4202</v>
      </c>
      <c r="G157" s="807" t="s">
        <v>3136</v>
      </c>
      <c r="H157" s="807" t="s">
        <v>4203</v>
      </c>
      <c r="I157" s="807">
        <v>4532</v>
      </c>
      <c r="J157" s="124" t="s">
        <v>4204</v>
      </c>
      <c r="K157" s="124" t="s">
        <v>35</v>
      </c>
      <c r="L157" s="807" t="s">
        <v>2980</v>
      </c>
      <c r="M157" s="807" t="s">
        <v>4205</v>
      </c>
      <c r="N157" s="807" t="s">
        <v>4206</v>
      </c>
      <c r="O157" s="807" t="s">
        <v>35</v>
      </c>
      <c r="P157" s="807" t="s">
        <v>3093</v>
      </c>
      <c r="Q157" s="807" t="s">
        <v>3389</v>
      </c>
      <c r="R157" s="807" t="s">
        <v>35</v>
      </c>
      <c r="S157" s="807" t="s">
        <v>35</v>
      </c>
      <c r="T157" s="807" t="s">
        <v>4207</v>
      </c>
      <c r="U157" s="807" t="s">
        <v>4208</v>
      </c>
      <c r="V157" s="807" t="s">
        <v>4209</v>
      </c>
      <c r="W157" s="807" t="s">
        <v>4210</v>
      </c>
      <c r="X157" s="807" t="s">
        <v>4211</v>
      </c>
      <c r="Y157" s="807" t="s">
        <v>4212</v>
      </c>
      <c r="Z157" s="807" t="s">
        <v>4213</v>
      </c>
      <c r="AA157" s="807" t="s">
        <v>4214</v>
      </c>
      <c r="AB157" s="807" t="s">
        <v>4215</v>
      </c>
      <c r="AC157" s="807" t="s">
        <v>4216</v>
      </c>
      <c r="AD157" s="807" t="s">
        <v>4217</v>
      </c>
      <c r="AE157" s="807" t="s">
        <v>4218</v>
      </c>
      <c r="AF157" s="807" t="s">
        <v>4219</v>
      </c>
      <c r="AG157" s="807" t="s">
        <v>3473</v>
      </c>
      <c r="AH157" s="807" t="s">
        <v>4220</v>
      </c>
      <c r="AI157" s="807" t="s">
        <v>4221</v>
      </c>
      <c r="AJ157" s="807" t="s">
        <v>4222</v>
      </c>
    </row>
    <row r="158" spans="1:36" ht="18.75" customHeight="1" x14ac:dyDescent="0.25">
      <c r="A158" s="118" t="s">
        <v>940</v>
      </c>
      <c r="B158" s="807" t="s">
        <v>143</v>
      </c>
      <c r="C158" s="807" t="s">
        <v>142</v>
      </c>
      <c r="D158" s="807" t="s">
        <v>4223</v>
      </c>
      <c r="E158" s="807" t="s">
        <v>2977</v>
      </c>
      <c r="F158" s="807" t="s">
        <v>312</v>
      </c>
      <c r="G158" s="807" t="s">
        <v>312</v>
      </c>
      <c r="H158" s="807" t="s">
        <v>4224</v>
      </c>
      <c r="I158" s="807">
        <v>970</v>
      </c>
      <c r="J158" s="124" t="s">
        <v>4225</v>
      </c>
      <c r="K158" s="124" t="s">
        <v>35</v>
      </c>
      <c r="L158" s="807" t="s">
        <v>4226</v>
      </c>
      <c r="M158" s="807" t="s">
        <v>4227</v>
      </c>
      <c r="N158" s="807" t="s">
        <v>35</v>
      </c>
      <c r="O158" s="807" t="s">
        <v>35</v>
      </c>
      <c r="P158" s="807" t="s">
        <v>35</v>
      </c>
      <c r="Q158" s="807" t="s">
        <v>35</v>
      </c>
      <c r="R158" s="807" t="s">
        <v>35</v>
      </c>
      <c r="S158" s="807" t="s">
        <v>35</v>
      </c>
      <c r="T158" s="807" t="s">
        <v>35</v>
      </c>
      <c r="U158" s="807" t="s">
        <v>35</v>
      </c>
      <c r="V158" s="807" t="s">
        <v>35</v>
      </c>
      <c r="W158" s="807" t="s">
        <v>35</v>
      </c>
      <c r="X158" s="807" t="s">
        <v>35</v>
      </c>
      <c r="Y158" s="807" t="s">
        <v>35</v>
      </c>
      <c r="Z158" s="807" t="s">
        <v>35</v>
      </c>
      <c r="AA158" s="807" t="s">
        <v>35</v>
      </c>
      <c r="AB158" s="807" t="s">
        <v>35</v>
      </c>
      <c r="AC158" s="807" t="s">
        <v>35</v>
      </c>
      <c r="AD158" s="807" t="s">
        <v>35</v>
      </c>
      <c r="AE158" s="807" t="s">
        <v>35</v>
      </c>
      <c r="AF158" s="807" t="s">
        <v>35</v>
      </c>
      <c r="AG158" s="807" t="s">
        <v>35</v>
      </c>
      <c r="AH158" s="807" t="s">
        <v>35</v>
      </c>
      <c r="AI158" s="807" t="s">
        <v>35</v>
      </c>
      <c r="AJ158" s="807" t="s">
        <v>35</v>
      </c>
    </row>
    <row r="159" spans="1:36" ht="18.75" customHeight="1" x14ac:dyDescent="0.25">
      <c r="A159" s="118" t="s">
        <v>940</v>
      </c>
      <c r="B159" s="807" t="s">
        <v>143</v>
      </c>
      <c r="C159" s="807" t="s">
        <v>142</v>
      </c>
      <c r="D159" s="807" t="s">
        <v>4228</v>
      </c>
      <c r="E159" s="807" t="s">
        <v>2977</v>
      </c>
      <c r="F159" s="807" t="s">
        <v>312</v>
      </c>
      <c r="G159" s="807" t="s">
        <v>312</v>
      </c>
      <c r="H159" s="807" t="s">
        <v>4229</v>
      </c>
      <c r="I159" s="807">
        <v>4471</v>
      </c>
      <c r="J159" s="124" t="s">
        <v>4204</v>
      </c>
      <c r="K159" s="124" t="s">
        <v>35</v>
      </c>
      <c r="L159" s="807" t="s">
        <v>2980</v>
      </c>
      <c r="M159" s="807" t="s">
        <v>4230</v>
      </c>
      <c r="N159" s="807" t="s">
        <v>4231</v>
      </c>
      <c r="O159" s="807" t="s">
        <v>35</v>
      </c>
      <c r="P159" s="807" t="s">
        <v>4232</v>
      </c>
      <c r="Q159" s="807" t="s">
        <v>3389</v>
      </c>
      <c r="R159" s="807" t="s">
        <v>35</v>
      </c>
      <c r="S159" s="807" t="s">
        <v>3024</v>
      </c>
      <c r="T159" s="807" t="s">
        <v>35</v>
      </c>
      <c r="U159" s="807" t="s">
        <v>35</v>
      </c>
      <c r="V159" s="807" t="s">
        <v>35</v>
      </c>
      <c r="W159" s="807" t="s">
        <v>35</v>
      </c>
      <c r="X159" s="807" t="s">
        <v>35</v>
      </c>
      <c r="Y159" s="807" t="s">
        <v>35</v>
      </c>
      <c r="Z159" s="807" t="s">
        <v>35</v>
      </c>
      <c r="AA159" s="807" t="s">
        <v>35</v>
      </c>
      <c r="AB159" s="807" t="s">
        <v>35</v>
      </c>
      <c r="AC159" s="807" t="s">
        <v>35</v>
      </c>
      <c r="AD159" s="807" t="s">
        <v>35</v>
      </c>
      <c r="AE159" s="807" t="s">
        <v>35</v>
      </c>
      <c r="AF159" s="807" t="s">
        <v>35</v>
      </c>
      <c r="AG159" s="807" t="s">
        <v>35</v>
      </c>
      <c r="AH159" s="807" t="s">
        <v>35</v>
      </c>
      <c r="AI159" s="807" t="s">
        <v>35</v>
      </c>
      <c r="AJ159" s="807" t="s">
        <v>35</v>
      </c>
    </row>
    <row r="160" spans="1:36" ht="18.75" customHeight="1" x14ac:dyDescent="0.25">
      <c r="A160" s="117" t="s">
        <v>940</v>
      </c>
      <c r="B160" s="119" t="s">
        <v>146</v>
      </c>
      <c r="C160" s="119" t="s">
        <v>145</v>
      </c>
      <c r="D160" s="119" t="s">
        <v>4201</v>
      </c>
      <c r="E160" s="119" t="s">
        <v>2977</v>
      </c>
      <c r="F160" s="119" t="s">
        <v>4202</v>
      </c>
      <c r="G160" s="119" t="s">
        <v>3136</v>
      </c>
      <c r="H160" s="119" t="s">
        <v>4203</v>
      </c>
      <c r="I160" s="119">
        <v>4532</v>
      </c>
      <c r="J160" s="120" t="s">
        <v>4233</v>
      </c>
      <c r="K160" s="120" t="s">
        <v>35</v>
      </c>
      <c r="L160" s="119" t="s">
        <v>2980</v>
      </c>
      <c r="M160" s="119" t="s">
        <v>4234</v>
      </c>
      <c r="N160" s="119" t="s">
        <v>4235</v>
      </c>
      <c r="O160" s="119" t="s">
        <v>35</v>
      </c>
      <c r="P160" s="119" t="s">
        <v>3226</v>
      </c>
      <c r="Q160" s="119" t="s">
        <v>4236</v>
      </c>
      <c r="R160" s="119" t="s">
        <v>3788</v>
      </c>
      <c r="S160" s="119" t="s">
        <v>35</v>
      </c>
      <c r="T160" s="119" t="s">
        <v>4237</v>
      </c>
      <c r="U160" s="119" t="s">
        <v>35</v>
      </c>
      <c r="V160" s="119" t="s">
        <v>35</v>
      </c>
      <c r="W160" s="119" t="s">
        <v>35</v>
      </c>
      <c r="X160" s="119" t="s">
        <v>35</v>
      </c>
      <c r="Y160" s="119" t="s">
        <v>35</v>
      </c>
      <c r="Z160" s="119" t="s">
        <v>4018</v>
      </c>
      <c r="AA160" s="119" t="s">
        <v>4238</v>
      </c>
      <c r="AB160" s="119" t="s">
        <v>4239</v>
      </c>
      <c r="AC160" s="119" t="s">
        <v>4240</v>
      </c>
      <c r="AD160" s="119" t="s">
        <v>4241</v>
      </c>
      <c r="AE160" s="119" t="s">
        <v>4242</v>
      </c>
      <c r="AF160" s="119" t="s">
        <v>4243</v>
      </c>
      <c r="AG160" s="119" t="s">
        <v>4244</v>
      </c>
      <c r="AH160" s="119" t="s">
        <v>4245</v>
      </c>
      <c r="AI160" s="119" t="s">
        <v>4246</v>
      </c>
      <c r="AJ160" s="119" t="s">
        <v>4247</v>
      </c>
    </row>
    <row r="161" spans="1:36" ht="18.75" customHeight="1" x14ac:dyDescent="0.25">
      <c r="A161" s="117" t="s">
        <v>940</v>
      </c>
      <c r="B161" s="119" t="s">
        <v>146</v>
      </c>
      <c r="C161" s="119" t="s">
        <v>145</v>
      </c>
      <c r="D161" s="119" t="s">
        <v>4248</v>
      </c>
      <c r="E161" s="119" t="s">
        <v>3316</v>
      </c>
      <c r="F161" s="119">
        <v>0</v>
      </c>
      <c r="G161" s="119" t="s">
        <v>35</v>
      </c>
      <c r="H161" s="119" t="s">
        <v>4249</v>
      </c>
      <c r="I161" s="119">
        <v>648</v>
      </c>
      <c r="J161" s="120" t="s">
        <v>4250</v>
      </c>
      <c r="K161" s="120" t="s">
        <v>35</v>
      </c>
      <c r="L161" s="119" t="s">
        <v>3459</v>
      </c>
      <c r="M161" s="119" t="s">
        <v>4251</v>
      </c>
      <c r="N161" s="119" t="s">
        <v>4252</v>
      </c>
      <c r="O161" s="119" t="s">
        <v>35</v>
      </c>
      <c r="P161" s="119" t="s">
        <v>4253</v>
      </c>
      <c r="Q161" s="119" t="s">
        <v>4254</v>
      </c>
      <c r="R161" s="119" t="s">
        <v>3788</v>
      </c>
      <c r="S161" s="119" t="s">
        <v>35</v>
      </c>
      <c r="T161" s="119" t="s">
        <v>35</v>
      </c>
      <c r="U161" s="119" t="s">
        <v>35</v>
      </c>
      <c r="V161" s="119" t="s">
        <v>35</v>
      </c>
      <c r="W161" s="119" t="s">
        <v>35</v>
      </c>
      <c r="X161" s="119" t="s">
        <v>35</v>
      </c>
      <c r="Y161" s="119" t="s">
        <v>35</v>
      </c>
      <c r="Z161" s="119" t="s">
        <v>35</v>
      </c>
      <c r="AA161" s="119" t="s">
        <v>35</v>
      </c>
      <c r="AB161" s="119" t="s">
        <v>35</v>
      </c>
      <c r="AC161" s="119" t="s">
        <v>35</v>
      </c>
      <c r="AD161" s="119" t="s">
        <v>35</v>
      </c>
      <c r="AE161" s="119" t="s">
        <v>35</v>
      </c>
      <c r="AF161" s="119" t="s">
        <v>35</v>
      </c>
      <c r="AG161" s="119" t="s">
        <v>35</v>
      </c>
      <c r="AH161" s="119" t="s">
        <v>35</v>
      </c>
      <c r="AI161" s="119" t="s">
        <v>35</v>
      </c>
      <c r="AJ161" s="119" t="s">
        <v>35</v>
      </c>
    </row>
    <row r="162" spans="1:36" ht="18.75" customHeight="1" x14ac:dyDescent="0.25">
      <c r="A162" s="117" t="s">
        <v>940</v>
      </c>
      <c r="B162" s="119" t="s">
        <v>146</v>
      </c>
      <c r="C162" s="119" t="s">
        <v>145</v>
      </c>
      <c r="D162" s="119" t="s">
        <v>4228</v>
      </c>
      <c r="E162" s="119" t="s">
        <v>2977</v>
      </c>
      <c r="F162" s="119" t="s">
        <v>312</v>
      </c>
      <c r="G162" s="119" t="s">
        <v>312</v>
      </c>
      <c r="H162" s="119" t="s">
        <v>4229</v>
      </c>
      <c r="I162" s="119">
        <v>4471</v>
      </c>
      <c r="J162" s="120" t="s">
        <v>4233</v>
      </c>
      <c r="K162" s="120" t="s">
        <v>35</v>
      </c>
      <c r="L162" s="119" t="s">
        <v>2980</v>
      </c>
      <c r="M162" s="119" t="s">
        <v>4255</v>
      </c>
      <c r="N162" s="119" t="s">
        <v>4256</v>
      </c>
      <c r="O162" s="119" t="s">
        <v>35</v>
      </c>
      <c r="P162" s="119" t="s">
        <v>4253</v>
      </c>
      <c r="Q162" s="119" t="s">
        <v>4257</v>
      </c>
      <c r="R162" s="119" t="s">
        <v>3788</v>
      </c>
      <c r="S162" s="119" t="s">
        <v>3024</v>
      </c>
      <c r="T162" s="119" t="s">
        <v>35</v>
      </c>
      <c r="U162" s="119" t="s">
        <v>35</v>
      </c>
      <c r="V162" s="119" t="s">
        <v>35</v>
      </c>
      <c r="W162" s="119" t="s">
        <v>35</v>
      </c>
      <c r="X162" s="119" t="s">
        <v>35</v>
      </c>
      <c r="Y162" s="119" t="s">
        <v>35</v>
      </c>
      <c r="Z162" s="119" t="s">
        <v>35</v>
      </c>
      <c r="AA162" s="119" t="s">
        <v>35</v>
      </c>
      <c r="AB162" s="119" t="s">
        <v>35</v>
      </c>
      <c r="AC162" s="119" t="s">
        <v>35</v>
      </c>
      <c r="AD162" s="119" t="s">
        <v>35</v>
      </c>
      <c r="AE162" s="119" t="s">
        <v>35</v>
      </c>
      <c r="AF162" s="119" t="s">
        <v>35</v>
      </c>
      <c r="AG162" s="119" t="s">
        <v>35</v>
      </c>
      <c r="AH162" s="119" t="s">
        <v>35</v>
      </c>
      <c r="AI162" s="119" t="s">
        <v>35</v>
      </c>
      <c r="AJ162" s="119" t="s">
        <v>35</v>
      </c>
    </row>
    <row r="163" spans="1:36" ht="18.75" customHeight="1" x14ac:dyDescent="0.25">
      <c r="A163" s="118" t="s">
        <v>941</v>
      </c>
      <c r="B163" s="807" t="s">
        <v>149</v>
      </c>
      <c r="C163" s="807" t="s">
        <v>148</v>
      </c>
      <c r="D163" s="807" t="s">
        <v>4258</v>
      </c>
      <c r="E163" s="807" t="s">
        <v>2977</v>
      </c>
      <c r="F163" s="807" t="s">
        <v>4259</v>
      </c>
      <c r="G163" s="807" t="s">
        <v>4194</v>
      </c>
      <c r="H163" s="807" t="s">
        <v>4260</v>
      </c>
      <c r="I163" s="807">
        <v>331</v>
      </c>
      <c r="J163" s="124" t="s">
        <v>3078</v>
      </c>
      <c r="K163" s="124" t="s">
        <v>35</v>
      </c>
      <c r="L163" s="807" t="s">
        <v>2980</v>
      </c>
      <c r="M163" s="807" t="s">
        <v>4261</v>
      </c>
      <c r="N163" s="807" t="s">
        <v>4262</v>
      </c>
      <c r="O163" s="807" t="s">
        <v>35</v>
      </c>
      <c r="P163" s="807" t="s">
        <v>3705</v>
      </c>
      <c r="Q163" s="807" t="s">
        <v>4263</v>
      </c>
      <c r="R163" s="807" t="s">
        <v>2985</v>
      </c>
      <c r="S163" s="807" t="s">
        <v>3024</v>
      </c>
      <c r="T163" s="807" t="s">
        <v>4264</v>
      </c>
      <c r="U163" s="807" t="s">
        <v>35</v>
      </c>
      <c r="V163" s="807" t="s">
        <v>35</v>
      </c>
      <c r="W163" s="807" t="s">
        <v>35</v>
      </c>
      <c r="X163" s="807" t="s">
        <v>35</v>
      </c>
      <c r="Y163" s="807" t="s">
        <v>35</v>
      </c>
      <c r="Z163" s="807" t="s">
        <v>4265</v>
      </c>
      <c r="AA163" s="807" t="s">
        <v>4266</v>
      </c>
      <c r="AB163" s="807" t="s">
        <v>4267</v>
      </c>
      <c r="AC163" s="807" t="s">
        <v>4268</v>
      </c>
      <c r="AD163" s="807" t="s">
        <v>4269</v>
      </c>
      <c r="AE163" s="807" t="s">
        <v>4270</v>
      </c>
      <c r="AF163" s="807" t="s">
        <v>4271</v>
      </c>
      <c r="AG163" s="807" t="s">
        <v>4272</v>
      </c>
      <c r="AH163" s="807" t="s">
        <v>4273</v>
      </c>
      <c r="AI163" s="807" t="s">
        <v>4274</v>
      </c>
      <c r="AJ163" s="807" t="s">
        <v>4275</v>
      </c>
    </row>
    <row r="164" spans="1:36" ht="18.75" customHeight="1" x14ac:dyDescent="0.25">
      <c r="A164" s="118" t="s">
        <v>941</v>
      </c>
      <c r="B164" s="807" t="s">
        <v>149</v>
      </c>
      <c r="C164" s="807" t="s">
        <v>148</v>
      </c>
      <c r="D164" s="807" t="s">
        <v>4276</v>
      </c>
      <c r="E164" s="807" t="s">
        <v>2977</v>
      </c>
      <c r="F164" s="807">
        <v>0</v>
      </c>
      <c r="G164" s="807" t="s">
        <v>35</v>
      </c>
      <c r="H164" s="807" t="s">
        <v>4277</v>
      </c>
      <c r="I164" s="807">
        <v>96</v>
      </c>
      <c r="J164" s="124" t="s">
        <v>3078</v>
      </c>
      <c r="K164" s="124" t="s">
        <v>35</v>
      </c>
      <c r="L164" s="807" t="s">
        <v>2980</v>
      </c>
      <c r="M164" s="807" t="s">
        <v>4278</v>
      </c>
      <c r="N164" s="807" t="s">
        <v>4279</v>
      </c>
      <c r="O164" s="807" t="s">
        <v>35</v>
      </c>
      <c r="P164" s="807" t="s">
        <v>3705</v>
      </c>
      <c r="Q164" s="807" t="s">
        <v>4263</v>
      </c>
      <c r="R164" s="807" t="s">
        <v>2985</v>
      </c>
      <c r="S164" s="807" t="s">
        <v>3024</v>
      </c>
      <c r="T164" s="807" t="s">
        <v>35</v>
      </c>
      <c r="U164" s="807" t="s">
        <v>35</v>
      </c>
      <c r="V164" s="807" t="s">
        <v>35</v>
      </c>
      <c r="W164" s="807" t="s">
        <v>35</v>
      </c>
      <c r="X164" s="807" t="s">
        <v>35</v>
      </c>
      <c r="Y164" s="807" t="s">
        <v>35</v>
      </c>
      <c r="Z164" s="807" t="s">
        <v>35</v>
      </c>
      <c r="AA164" s="807" t="s">
        <v>35</v>
      </c>
      <c r="AB164" s="807" t="s">
        <v>35</v>
      </c>
      <c r="AC164" s="807" t="s">
        <v>35</v>
      </c>
      <c r="AD164" s="807" t="s">
        <v>35</v>
      </c>
      <c r="AE164" s="807" t="s">
        <v>35</v>
      </c>
      <c r="AF164" s="807" t="s">
        <v>35</v>
      </c>
      <c r="AG164" s="807" t="s">
        <v>35</v>
      </c>
      <c r="AH164" s="807" t="s">
        <v>35</v>
      </c>
      <c r="AI164" s="807" t="s">
        <v>35</v>
      </c>
      <c r="AJ164" s="807" t="s">
        <v>35</v>
      </c>
    </row>
    <row r="165" spans="1:36" ht="18.75" customHeight="1" x14ac:dyDescent="0.25">
      <c r="A165" s="118" t="s">
        <v>941</v>
      </c>
      <c r="B165" s="807" t="s">
        <v>149</v>
      </c>
      <c r="C165" s="807" t="s">
        <v>148</v>
      </c>
      <c r="D165" s="807" t="s">
        <v>4280</v>
      </c>
      <c r="E165" s="807" t="s">
        <v>2977</v>
      </c>
      <c r="F165" s="807" t="s">
        <v>4281</v>
      </c>
      <c r="G165" s="807" t="s">
        <v>3136</v>
      </c>
      <c r="H165" s="807" t="s">
        <v>4282</v>
      </c>
      <c r="I165" s="807">
        <v>96</v>
      </c>
      <c r="J165" s="124" t="s">
        <v>3142</v>
      </c>
      <c r="K165" s="124" t="s">
        <v>35</v>
      </c>
      <c r="L165" s="807" t="s">
        <v>2980</v>
      </c>
      <c r="M165" s="807" t="s">
        <v>4261</v>
      </c>
      <c r="N165" s="807" t="s">
        <v>4262</v>
      </c>
      <c r="O165" s="807" t="s">
        <v>35</v>
      </c>
      <c r="P165" s="807" t="s">
        <v>3705</v>
      </c>
      <c r="Q165" s="807" t="s">
        <v>4263</v>
      </c>
      <c r="R165" s="807" t="s">
        <v>2985</v>
      </c>
      <c r="S165" s="807" t="s">
        <v>3024</v>
      </c>
      <c r="T165" s="807" t="s">
        <v>35</v>
      </c>
      <c r="U165" s="807" t="s">
        <v>35</v>
      </c>
      <c r="V165" s="807" t="s">
        <v>35</v>
      </c>
      <c r="W165" s="807" t="s">
        <v>35</v>
      </c>
      <c r="X165" s="807" t="s">
        <v>35</v>
      </c>
      <c r="Y165" s="807" t="s">
        <v>35</v>
      </c>
      <c r="Z165" s="807" t="s">
        <v>35</v>
      </c>
      <c r="AA165" s="807" t="s">
        <v>35</v>
      </c>
      <c r="AB165" s="807" t="s">
        <v>35</v>
      </c>
      <c r="AC165" s="807" t="s">
        <v>35</v>
      </c>
      <c r="AD165" s="807" t="s">
        <v>35</v>
      </c>
      <c r="AE165" s="807" t="s">
        <v>35</v>
      </c>
      <c r="AF165" s="807" t="s">
        <v>35</v>
      </c>
      <c r="AG165" s="807" t="s">
        <v>35</v>
      </c>
      <c r="AH165" s="807" t="s">
        <v>35</v>
      </c>
      <c r="AI165" s="807" t="s">
        <v>35</v>
      </c>
      <c r="AJ165" s="807" t="s">
        <v>35</v>
      </c>
    </row>
    <row r="166" spans="1:36" ht="18.75" customHeight="1" x14ac:dyDescent="0.25">
      <c r="A166" s="118" t="s">
        <v>941</v>
      </c>
      <c r="B166" s="807" t="s">
        <v>149</v>
      </c>
      <c r="C166" s="807" t="s">
        <v>148</v>
      </c>
      <c r="D166" s="807" t="s">
        <v>4283</v>
      </c>
      <c r="E166" s="807" t="s">
        <v>2977</v>
      </c>
      <c r="F166" s="807">
        <v>0</v>
      </c>
      <c r="G166" s="807" t="s">
        <v>35</v>
      </c>
      <c r="H166" s="807" t="s">
        <v>4284</v>
      </c>
      <c r="I166" s="807">
        <v>122</v>
      </c>
      <c r="J166" s="124" t="s">
        <v>3237</v>
      </c>
      <c r="K166" s="124" t="s">
        <v>35</v>
      </c>
      <c r="L166" s="807" t="s">
        <v>2980</v>
      </c>
      <c r="M166" s="807" t="s">
        <v>4261</v>
      </c>
      <c r="N166" s="807" t="s">
        <v>4262</v>
      </c>
      <c r="O166" s="807" t="s">
        <v>35</v>
      </c>
      <c r="P166" s="807" t="s">
        <v>3705</v>
      </c>
      <c r="Q166" s="807" t="s">
        <v>4263</v>
      </c>
      <c r="R166" s="807" t="s">
        <v>2985</v>
      </c>
      <c r="S166" s="807" t="s">
        <v>3024</v>
      </c>
      <c r="T166" s="807" t="s">
        <v>35</v>
      </c>
      <c r="U166" s="807" t="s">
        <v>35</v>
      </c>
      <c r="V166" s="807" t="s">
        <v>35</v>
      </c>
      <c r="W166" s="807" t="s">
        <v>35</v>
      </c>
      <c r="X166" s="807" t="s">
        <v>35</v>
      </c>
      <c r="Y166" s="807" t="s">
        <v>35</v>
      </c>
      <c r="Z166" s="807" t="s">
        <v>35</v>
      </c>
      <c r="AA166" s="807" t="s">
        <v>35</v>
      </c>
      <c r="AB166" s="807" t="s">
        <v>35</v>
      </c>
      <c r="AC166" s="807" t="s">
        <v>35</v>
      </c>
      <c r="AD166" s="807" t="s">
        <v>35</v>
      </c>
      <c r="AE166" s="807" t="s">
        <v>35</v>
      </c>
      <c r="AF166" s="807" t="s">
        <v>35</v>
      </c>
      <c r="AG166" s="807" t="s">
        <v>35</v>
      </c>
      <c r="AH166" s="807" t="s">
        <v>35</v>
      </c>
      <c r="AI166" s="807" t="s">
        <v>35</v>
      </c>
      <c r="AJ166" s="807" t="s">
        <v>35</v>
      </c>
    </row>
    <row r="167" spans="1:36" ht="18.75" customHeight="1" x14ac:dyDescent="0.25">
      <c r="A167" s="118" t="s">
        <v>941</v>
      </c>
      <c r="B167" s="807" t="s">
        <v>149</v>
      </c>
      <c r="C167" s="807" t="s">
        <v>148</v>
      </c>
      <c r="D167" s="807" t="s">
        <v>4285</v>
      </c>
      <c r="E167" s="807" t="s">
        <v>2977</v>
      </c>
      <c r="F167" s="807" t="s">
        <v>3817</v>
      </c>
      <c r="G167" s="807" t="s">
        <v>3136</v>
      </c>
      <c r="H167" s="807" t="s">
        <v>4286</v>
      </c>
      <c r="I167" s="807">
        <v>12</v>
      </c>
      <c r="J167" s="124" t="s">
        <v>35</v>
      </c>
      <c r="K167" s="124" t="s">
        <v>35</v>
      </c>
      <c r="L167" s="807" t="s">
        <v>3558</v>
      </c>
      <c r="M167" s="807" t="s">
        <v>35</v>
      </c>
      <c r="N167" s="807" t="s">
        <v>35</v>
      </c>
      <c r="O167" s="807">
        <v>1511</v>
      </c>
      <c r="P167" s="807" t="s">
        <v>35</v>
      </c>
      <c r="Q167" s="807" t="s">
        <v>35</v>
      </c>
      <c r="R167" s="807" t="s">
        <v>35</v>
      </c>
      <c r="S167" s="807" t="s">
        <v>35</v>
      </c>
      <c r="T167" s="807" t="s">
        <v>35</v>
      </c>
      <c r="U167" s="807" t="s">
        <v>35</v>
      </c>
      <c r="V167" s="807" t="s">
        <v>35</v>
      </c>
      <c r="W167" s="807" t="s">
        <v>35</v>
      </c>
      <c r="X167" s="807" t="s">
        <v>35</v>
      </c>
      <c r="Y167" s="807" t="s">
        <v>35</v>
      </c>
      <c r="Z167" s="807" t="s">
        <v>35</v>
      </c>
      <c r="AA167" s="807" t="s">
        <v>35</v>
      </c>
      <c r="AB167" s="807" t="s">
        <v>35</v>
      </c>
      <c r="AC167" s="807" t="s">
        <v>35</v>
      </c>
      <c r="AD167" s="807" t="s">
        <v>35</v>
      </c>
      <c r="AE167" s="807" t="s">
        <v>35</v>
      </c>
      <c r="AF167" s="807" t="s">
        <v>35</v>
      </c>
      <c r="AG167" s="807" t="s">
        <v>35</v>
      </c>
      <c r="AH167" s="807" t="s">
        <v>35</v>
      </c>
      <c r="AI167" s="807" t="s">
        <v>35</v>
      </c>
      <c r="AJ167" s="807" t="s">
        <v>35</v>
      </c>
    </row>
    <row r="168" spans="1:36" ht="18.75" customHeight="1" x14ac:dyDescent="0.25">
      <c r="A168" s="118" t="s">
        <v>941</v>
      </c>
      <c r="B168" s="807" t="s">
        <v>149</v>
      </c>
      <c r="C168" s="807" t="s">
        <v>148</v>
      </c>
      <c r="D168" s="807" t="s">
        <v>4287</v>
      </c>
      <c r="E168" s="807" t="s">
        <v>2977</v>
      </c>
      <c r="F168" s="807" t="s">
        <v>4288</v>
      </c>
      <c r="G168" s="807" t="s">
        <v>3282</v>
      </c>
      <c r="H168" s="807" t="s">
        <v>4289</v>
      </c>
      <c r="I168" s="807">
        <v>314</v>
      </c>
      <c r="J168" s="124" t="s">
        <v>3086</v>
      </c>
      <c r="K168" s="124" t="s">
        <v>35</v>
      </c>
      <c r="L168" s="807" t="s">
        <v>2980</v>
      </c>
      <c r="M168" s="807" t="s">
        <v>4278</v>
      </c>
      <c r="N168" s="807" t="s">
        <v>4279</v>
      </c>
      <c r="O168" s="807" t="s">
        <v>35</v>
      </c>
      <c r="P168" s="807" t="s">
        <v>3705</v>
      </c>
      <c r="Q168" s="807" t="s">
        <v>4263</v>
      </c>
      <c r="R168" s="807" t="s">
        <v>2985</v>
      </c>
      <c r="S168" s="807" t="s">
        <v>3024</v>
      </c>
      <c r="T168" s="807" t="s">
        <v>35</v>
      </c>
      <c r="U168" s="807" t="s">
        <v>35</v>
      </c>
      <c r="V168" s="807" t="s">
        <v>35</v>
      </c>
      <c r="W168" s="807" t="s">
        <v>35</v>
      </c>
      <c r="X168" s="807" t="s">
        <v>35</v>
      </c>
      <c r="Y168" s="807" t="s">
        <v>35</v>
      </c>
      <c r="Z168" s="807" t="s">
        <v>35</v>
      </c>
      <c r="AA168" s="807" t="s">
        <v>35</v>
      </c>
      <c r="AB168" s="807" t="s">
        <v>35</v>
      </c>
      <c r="AC168" s="807" t="s">
        <v>35</v>
      </c>
      <c r="AD168" s="807" t="s">
        <v>35</v>
      </c>
      <c r="AE168" s="807" t="s">
        <v>35</v>
      </c>
      <c r="AF168" s="807" t="s">
        <v>35</v>
      </c>
      <c r="AG168" s="807" t="s">
        <v>35</v>
      </c>
      <c r="AH168" s="807" t="s">
        <v>35</v>
      </c>
      <c r="AI168" s="807" t="s">
        <v>35</v>
      </c>
      <c r="AJ168" s="807" t="s">
        <v>35</v>
      </c>
    </row>
    <row r="169" spans="1:36" ht="18.75" customHeight="1" x14ac:dyDescent="0.25">
      <c r="A169" s="118" t="s">
        <v>941</v>
      </c>
      <c r="B169" s="807" t="s">
        <v>149</v>
      </c>
      <c r="C169" s="807" t="s">
        <v>148</v>
      </c>
      <c r="D169" s="807" t="s">
        <v>4290</v>
      </c>
      <c r="E169" s="807" t="s">
        <v>2977</v>
      </c>
      <c r="F169" s="807" t="s">
        <v>4291</v>
      </c>
      <c r="G169" s="807" t="s">
        <v>4292</v>
      </c>
      <c r="H169" s="807" t="s">
        <v>4293</v>
      </c>
      <c r="I169" s="807">
        <v>314</v>
      </c>
      <c r="J169" s="124" t="s">
        <v>3074</v>
      </c>
      <c r="K169" s="124" t="s">
        <v>35</v>
      </c>
      <c r="L169" s="807" t="s">
        <v>2980</v>
      </c>
      <c r="M169" s="807" t="s">
        <v>4278</v>
      </c>
      <c r="N169" s="807" t="s">
        <v>4279</v>
      </c>
      <c r="O169" s="807" t="s">
        <v>35</v>
      </c>
      <c r="P169" s="807" t="s">
        <v>3705</v>
      </c>
      <c r="Q169" s="807" t="s">
        <v>4263</v>
      </c>
      <c r="R169" s="807" t="s">
        <v>2985</v>
      </c>
      <c r="S169" s="807" t="s">
        <v>3024</v>
      </c>
      <c r="T169" s="807" t="s">
        <v>35</v>
      </c>
      <c r="U169" s="807" t="s">
        <v>35</v>
      </c>
      <c r="V169" s="807" t="s">
        <v>35</v>
      </c>
      <c r="W169" s="807" t="s">
        <v>35</v>
      </c>
      <c r="X169" s="807" t="s">
        <v>35</v>
      </c>
      <c r="Y169" s="807" t="s">
        <v>35</v>
      </c>
      <c r="Z169" s="807" t="s">
        <v>35</v>
      </c>
      <c r="AA169" s="807" t="s">
        <v>35</v>
      </c>
      <c r="AB169" s="807" t="s">
        <v>35</v>
      </c>
      <c r="AC169" s="807" t="s">
        <v>35</v>
      </c>
      <c r="AD169" s="807" t="s">
        <v>35</v>
      </c>
      <c r="AE169" s="807" t="s">
        <v>35</v>
      </c>
      <c r="AF169" s="807" t="s">
        <v>35</v>
      </c>
      <c r="AG169" s="807" t="s">
        <v>35</v>
      </c>
      <c r="AH169" s="807" t="s">
        <v>35</v>
      </c>
      <c r="AI169" s="807" t="s">
        <v>35</v>
      </c>
      <c r="AJ169" s="807" t="s">
        <v>35</v>
      </c>
    </row>
    <row r="170" spans="1:36" ht="18.75" customHeight="1" x14ac:dyDescent="0.25">
      <c r="A170" s="117" t="s">
        <v>247</v>
      </c>
      <c r="B170" s="119" t="s">
        <v>246</v>
      </c>
      <c r="C170" s="119" t="s">
        <v>245</v>
      </c>
      <c r="D170" s="119" t="s">
        <v>4294</v>
      </c>
      <c r="E170" s="119" t="s">
        <v>2977</v>
      </c>
      <c r="F170" s="119" t="s">
        <v>4295</v>
      </c>
      <c r="G170" s="119" t="s">
        <v>3944</v>
      </c>
      <c r="H170" s="119" t="s">
        <v>4296</v>
      </c>
      <c r="I170" s="119">
        <v>280</v>
      </c>
      <c r="J170" s="120" t="s">
        <v>4297</v>
      </c>
      <c r="K170" s="120" t="s">
        <v>35</v>
      </c>
      <c r="L170" s="119" t="s">
        <v>2980</v>
      </c>
      <c r="M170" s="119" t="s">
        <v>4298</v>
      </c>
      <c r="N170" s="119" t="s">
        <v>4299</v>
      </c>
      <c r="O170" s="119" t="s">
        <v>35</v>
      </c>
      <c r="P170" s="119" t="s">
        <v>4121</v>
      </c>
      <c r="Q170" s="119" t="s">
        <v>4300</v>
      </c>
      <c r="R170" s="119" t="s">
        <v>7</v>
      </c>
      <c r="S170" s="119" t="s">
        <v>2985</v>
      </c>
      <c r="T170" s="119" t="s">
        <v>4301</v>
      </c>
      <c r="U170" s="119" t="s">
        <v>3770</v>
      </c>
      <c r="V170" s="119" t="s">
        <v>3770</v>
      </c>
      <c r="W170" s="119" t="s">
        <v>3770</v>
      </c>
      <c r="X170" s="119" t="s">
        <v>4302</v>
      </c>
      <c r="Y170" s="119" t="s">
        <v>3770</v>
      </c>
      <c r="Z170" s="119" t="s">
        <v>4303</v>
      </c>
      <c r="AA170" s="119" t="s">
        <v>4304</v>
      </c>
      <c r="AB170" s="119" t="s">
        <v>4305</v>
      </c>
      <c r="AC170" s="119" t="s">
        <v>4306</v>
      </c>
      <c r="AD170" s="119" t="s">
        <v>4307</v>
      </c>
      <c r="AE170" s="119" t="s">
        <v>4308</v>
      </c>
      <c r="AF170" s="119" t="s">
        <v>3778</v>
      </c>
      <c r="AG170" s="119" t="s">
        <v>4309</v>
      </c>
      <c r="AH170" s="119" t="s">
        <v>4310</v>
      </c>
      <c r="AI170" s="119" t="s">
        <v>4311</v>
      </c>
      <c r="AJ170" s="119" t="s">
        <v>3778</v>
      </c>
    </row>
    <row r="171" spans="1:36" ht="18.75" customHeight="1" x14ac:dyDescent="0.25">
      <c r="A171" s="117" t="s">
        <v>247</v>
      </c>
      <c r="B171" s="119" t="s">
        <v>246</v>
      </c>
      <c r="C171" s="119" t="s">
        <v>245</v>
      </c>
      <c r="D171" s="119" t="s">
        <v>4312</v>
      </c>
      <c r="E171" s="119" t="s">
        <v>2977</v>
      </c>
      <c r="F171" s="119">
        <v>0</v>
      </c>
      <c r="G171" s="119" t="s">
        <v>35</v>
      </c>
      <c r="H171" s="119" t="s">
        <v>4313</v>
      </c>
      <c r="I171" s="119">
        <v>278</v>
      </c>
      <c r="J171" s="120" t="s">
        <v>4314</v>
      </c>
      <c r="K171" s="120" t="s">
        <v>35</v>
      </c>
      <c r="L171" s="119" t="s">
        <v>2980</v>
      </c>
      <c r="M171" s="119" t="s">
        <v>4298</v>
      </c>
      <c r="N171" s="119" t="s">
        <v>4299</v>
      </c>
      <c r="O171" s="119" t="s">
        <v>35</v>
      </c>
      <c r="P171" s="119" t="s">
        <v>4121</v>
      </c>
      <c r="Q171" s="119" t="s">
        <v>4315</v>
      </c>
      <c r="R171" s="119" t="s">
        <v>7</v>
      </c>
      <c r="S171" s="119" t="s">
        <v>2985</v>
      </c>
      <c r="T171" s="119" t="s">
        <v>35</v>
      </c>
      <c r="U171" s="119" t="s">
        <v>35</v>
      </c>
      <c r="V171" s="119" t="s">
        <v>35</v>
      </c>
      <c r="W171" s="119" t="s">
        <v>35</v>
      </c>
      <c r="X171" s="119" t="s">
        <v>35</v>
      </c>
      <c r="Y171" s="119" t="s">
        <v>35</v>
      </c>
      <c r="Z171" s="119" t="s">
        <v>35</v>
      </c>
      <c r="AA171" s="119" t="s">
        <v>35</v>
      </c>
      <c r="AB171" s="119" t="s">
        <v>35</v>
      </c>
      <c r="AC171" s="119" t="s">
        <v>35</v>
      </c>
      <c r="AD171" s="119" t="s">
        <v>35</v>
      </c>
      <c r="AE171" s="119" t="s">
        <v>35</v>
      </c>
      <c r="AF171" s="119" t="s">
        <v>35</v>
      </c>
      <c r="AG171" s="119" t="s">
        <v>35</v>
      </c>
      <c r="AH171" s="119" t="s">
        <v>35</v>
      </c>
      <c r="AI171" s="119" t="s">
        <v>35</v>
      </c>
      <c r="AJ171" s="119" t="s">
        <v>35</v>
      </c>
    </row>
    <row r="172" spans="1:36" ht="18.75" customHeight="1" x14ac:dyDescent="0.25">
      <c r="A172" s="117" t="s">
        <v>247</v>
      </c>
      <c r="B172" s="119" t="s">
        <v>246</v>
      </c>
      <c r="C172" s="119" t="s">
        <v>245</v>
      </c>
      <c r="D172" s="119" t="s">
        <v>4316</v>
      </c>
      <c r="E172" s="119" t="s">
        <v>2977</v>
      </c>
      <c r="F172" s="119" t="s">
        <v>4317</v>
      </c>
      <c r="G172" s="119" t="s">
        <v>3276</v>
      </c>
      <c r="H172" s="119" t="s">
        <v>4318</v>
      </c>
      <c r="I172" s="119">
        <v>1516</v>
      </c>
      <c r="J172" s="120" t="s">
        <v>4319</v>
      </c>
      <c r="K172" s="120" t="s">
        <v>35</v>
      </c>
      <c r="L172" s="119" t="s">
        <v>2980</v>
      </c>
      <c r="M172" s="119" t="s">
        <v>4298</v>
      </c>
      <c r="N172" s="119" t="s">
        <v>4299</v>
      </c>
      <c r="O172" s="119" t="s">
        <v>35</v>
      </c>
      <c r="P172" s="119" t="s">
        <v>3188</v>
      </c>
      <c r="Q172" s="119" t="s">
        <v>4320</v>
      </c>
      <c r="R172" s="119" t="s">
        <v>7</v>
      </c>
      <c r="S172" s="119" t="s">
        <v>2985</v>
      </c>
      <c r="T172" s="119" t="s">
        <v>35</v>
      </c>
      <c r="U172" s="119" t="s">
        <v>35</v>
      </c>
      <c r="V172" s="119" t="s">
        <v>35</v>
      </c>
      <c r="W172" s="119" t="s">
        <v>35</v>
      </c>
      <c r="X172" s="119" t="s">
        <v>35</v>
      </c>
      <c r="Y172" s="119" t="s">
        <v>35</v>
      </c>
      <c r="Z172" s="119" t="s">
        <v>35</v>
      </c>
      <c r="AA172" s="119" t="s">
        <v>35</v>
      </c>
      <c r="AB172" s="119" t="s">
        <v>35</v>
      </c>
      <c r="AC172" s="119" t="s">
        <v>35</v>
      </c>
      <c r="AD172" s="119" t="s">
        <v>35</v>
      </c>
      <c r="AE172" s="119" t="s">
        <v>35</v>
      </c>
      <c r="AF172" s="119" t="s">
        <v>35</v>
      </c>
      <c r="AG172" s="119" t="s">
        <v>35</v>
      </c>
      <c r="AH172" s="119" t="s">
        <v>35</v>
      </c>
      <c r="AI172" s="119" t="s">
        <v>35</v>
      </c>
      <c r="AJ172" s="119" t="s">
        <v>35</v>
      </c>
    </row>
    <row r="173" spans="1:36" ht="18.75" customHeight="1" x14ac:dyDescent="0.25">
      <c r="A173" s="117" t="s">
        <v>247</v>
      </c>
      <c r="B173" s="119" t="s">
        <v>246</v>
      </c>
      <c r="C173" s="119" t="s">
        <v>245</v>
      </c>
      <c r="D173" s="119" t="s">
        <v>4321</v>
      </c>
      <c r="E173" s="119" t="s">
        <v>2977</v>
      </c>
      <c r="F173" s="119" t="s">
        <v>3451</v>
      </c>
      <c r="G173" s="119" t="s">
        <v>3944</v>
      </c>
      <c r="H173" s="119" t="s">
        <v>4322</v>
      </c>
      <c r="I173" s="119">
        <v>372</v>
      </c>
      <c r="J173" s="120" t="s">
        <v>4314</v>
      </c>
      <c r="K173" s="120" t="s">
        <v>35</v>
      </c>
      <c r="L173" s="119" t="s">
        <v>2980</v>
      </c>
      <c r="M173" s="119" t="s">
        <v>4298</v>
      </c>
      <c r="N173" s="119" t="s">
        <v>4299</v>
      </c>
      <c r="O173" s="119" t="s">
        <v>35</v>
      </c>
      <c r="P173" s="119" t="s">
        <v>3705</v>
      </c>
      <c r="Q173" s="119" t="s">
        <v>4300</v>
      </c>
      <c r="R173" s="119" t="s">
        <v>7</v>
      </c>
      <c r="S173" s="119" t="s">
        <v>2985</v>
      </c>
      <c r="T173" s="119" t="s">
        <v>35</v>
      </c>
      <c r="U173" s="119" t="s">
        <v>35</v>
      </c>
      <c r="V173" s="119" t="s">
        <v>35</v>
      </c>
      <c r="W173" s="119" t="s">
        <v>35</v>
      </c>
      <c r="X173" s="119" t="s">
        <v>35</v>
      </c>
      <c r="Y173" s="119" t="s">
        <v>35</v>
      </c>
      <c r="Z173" s="119" t="s">
        <v>35</v>
      </c>
      <c r="AA173" s="119" t="s">
        <v>35</v>
      </c>
      <c r="AB173" s="119" t="s">
        <v>35</v>
      </c>
      <c r="AC173" s="119" t="s">
        <v>35</v>
      </c>
      <c r="AD173" s="119" t="s">
        <v>35</v>
      </c>
      <c r="AE173" s="119" t="s">
        <v>35</v>
      </c>
      <c r="AF173" s="119" t="s">
        <v>35</v>
      </c>
      <c r="AG173" s="119" t="s">
        <v>35</v>
      </c>
      <c r="AH173" s="119" t="s">
        <v>35</v>
      </c>
      <c r="AI173" s="119" t="s">
        <v>35</v>
      </c>
      <c r="AJ173" s="119" t="s">
        <v>35</v>
      </c>
    </row>
    <row r="174" spans="1:36" ht="18.75" customHeight="1" x14ac:dyDescent="0.25">
      <c r="A174" s="117" t="s">
        <v>247</v>
      </c>
      <c r="B174" s="119" t="s">
        <v>246</v>
      </c>
      <c r="C174" s="119" t="s">
        <v>245</v>
      </c>
      <c r="D174" s="119" t="s">
        <v>4323</v>
      </c>
      <c r="E174" s="119" t="s">
        <v>2977</v>
      </c>
      <c r="F174" s="119" t="s">
        <v>312</v>
      </c>
      <c r="G174" s="119" t="s">
        <v>312</v>
      </c>
      <c r="H174" s="119" t="s">
        <v>4324</v>
      </c>
      <c r="I174" s="119">
        <v>261</v>
      </c>
      <c r="J174" s="120" t="s">
        <v>4325</v>
      </c>
      <c r="K174" s="120" t="s">
        <v>35</v>
      </c>
      <c r="L174" s="119" t="s">
        <v>2980</v>
      </c>
      <c r="M174" s="119" t="s">
        <v>4298</v>
      </c>
      <c r="N174" s="119" t="s">
        <v>4299</v>
      </c>
      <c r="O174" s="119" t="s">
        <v>35</v>
      </c>
      <c r="P174" s="119" t="s">
        <v>4121</v>
      </c>
      <c r="Q174" s="119" t="s">
        <v>4326</v>
      </c>
      <c r="R174" s="119" t="s">
        <v>7</v>
      </c>
      <c r="S174" s="119" t="s">
        <v>2985</v>
      </c>
      <c r="T174" s="119" t="s">
        <v>35</v>
      </c>
      <c r="U174" s="119" t="s">
        <v>35</v>
      </c>
      <c r="V174" s="119" t="s">
        <v>35</v>
      </c>
      <c r="W174" s="119" t="s">
        <v>35</v>
      </c>
      <c r="X174" s="119" t="s">
        <v>35</v>
      </c>
      <c r="Y174" s="119" t="s">
        <v>35</v>
      </c>
      <c r="Z174" s="119" t="s">
        <v>35</v>
      </c>
      <c r="AA174" s="119" t="s">
        <v>35</v>
      </c>
      <c r="AB174" s="119" t="s">
        <v>35</v>
      </c>
      <c r="AC174" s="119" t="s">
        <v>35</v>
      </c>
      <c r="AD174" s="119" t="s">
        <v>35</v>
      </c>
      <c r="AE174" s="119" t="s">
        <v>35</v>
      </c>
      <c r="AF174" s="119" t="s">
        <v>35</v>
      </c>
      <c r="AG174" s="119" t="s">
        <v>35</v>
      </c>
      <c r="AH174" s="119" t="s">
        <v>35</v>
      </c>
      <c r="AI174" s="119" t="s">
        <v>35</v>
      </c>
      <c r="AJ174" s="119" t="s">
        <v>35</v>
      </c>
    </row>
    <row r="175" spans="1:36" ht="18.75" customHeight="1" x14ac:dyDescent="0.25">
      <c r="A175" s="118" t="s">
        <v>252</v>
      </c>
      <c r="B175" s="807" t="s">
        <v>251</v>
      </c>
      <c r="C175" s="807" t="s">
        <v>250</v>
      </c>
      <c r="D175" s="807" t="s">
        <v>4327</v>
      </c>
      <c r="E175" s="807" t="s">
        <v>2977</v>
      </c>
      <c r="F175" s="807" t="s">
        <v>4328</v>
      </c>
      <c r="G175" s="807" t="s">
        <v>3276</v>
      </c>
      <c r="H175" s="807" t="s">
        <v>4329</v>
      </c>
      <c r="I175" s="807">
        <v>582</v>
      </c>
      <c r="J175" s="124" t="s">
        <v>4314</v>
      </c>
      <c r="K175" s="124" t="s">
        <v>35</v>
      </c>
      <c r="L175" s="807" t="s">
        <v>2980</v>
      </c>
      <c r="M175" s="807" t="s">
        <v>4330</v>
      </c>
      <c r="N175" s="807" t="s">
        <v>4331</v>
      </c>
      <c r="O175" s="807" t="s">
        <v>35</v>
      </c>
      <c r="P175" s="807" t="s">
        <v>3139</v>
      </c>
      <c r="Q175" s="807" t="s">
        <v>4332</v>
      </c>
      <c r="R175" s="807" t="s">
        <v>2985</v>
      </c>
      <c r="S175" s="807" t="s">
        <v>3024</v>
      </c>
      <c r="T175" s="807" t="s">
        <v>4333</v>
      </c>
      <c r="U175" s="807" t="s">
        <v>4334</v>
      </c>
      <c r="V175" s="807" t="s">
        <v>4335</v>
      </c>
      <c r="W175" s="807" t="s">
        <v>4336</v>
      </c>
      <c r="X175" s="807" t="s">
        <v>4337</v>
      </c>
      <c r="Y175" s="807" t="s">
        <v>4338</v>
      </c>
      <c r="Z175" s="807" t="s">
        <v>4339</v>
      </c>
      <c r="AA175" s="807" t="s">
        <v>4340</v>
      </c>
      <c r="AB175" s="807" t="s">
        <v>4341</v>
      </c>
      <c r="AC175" s="807" t="s">
        <v>4342</v>
      </c>
      <c r="AD175" s="807" t="s">
        <v>4343</v>
      </c>
      <c r="AE175" s="807" t="s">
        <v>4344</v>
      </c>
      <c r="AF175" s="807" t="s">
        <v>4345</v>
      </c>
      <c r="AG175" s="807" t="s">
        <v>4346</v>
      </c>
      <c r="AH175" s="807" t="s">
        <v>4347</v>
      </c>
      <c r="AI175" s="807" t="s">
        <v>4348</v>
      </c>
      <c r="AJ175" s="807" t="s">
        <v>4349</v>
      </c>
    </row>
    <row r="176" spans="1:36" ht="18.75" customHeight="1" x14ac:dyDescent="0.25">
      <c r="A176" s="118" t="s">
        <v>252</v>
      </c>
      <c r="B176" s="807" t="s">
        <v>251</v>
      </c>
      <c r="C176" s="807" t="s">
        <v>250</v>
      </c>
      <c r="D176" s="807" t="s">
        <v>4350</v>
      </c>
      <c r="E176" s="807" t="s">
        <v>2977</v>
      </c>
      <c r="F176" s="807" t="s">
        <v>3817</v>
      </c>
      <c r="G176" s="807" t="s">
        <v>3276</v>
      </c>
      <c r="H176" s="807" t="s">
        <v>4351</v>
      </c>
      <c r="I176" s="807">
        <v>194</v>
      </c>
      <c r="J176" s="124" t="s">
        <v>35</v>
      </c>
      <c r="K176" s="124" t="s">
        <v>35</v>
      </c>
      <c r="L176" s="807" t="s">
        <v>3558</v>
      </c>
      <c r="M176" s="807" t="s">
        <v>35</v>
      </c>
      <c r="N176" s="807" t="s">
        <v>35</v>
      </c>
      <c r="O176" s="807">
        <v>792</v>
      </c>
      <c r="P176" s="807" t="s">
        <v>35</v>
      </c>
      <c r="Q176" s="807" t="s">
        <v>35</v>
      </c>
      <c r="R176" s="807" t="s">
        <v>35</v>
      </c>
      <c r="S176" s="807" t="s">
        <v>35</v>
      </c>
      <c r="T176" s="807" t="s">
        <v>35</v>
      </c>
      <c r="U176" s="807" t="s">
        <v>35</v>
      </c>
      <c r="V176" s="807" t="s">
        <v>35</v>
      </c>
      <c r="W176" s="807" t="s">
        <v>35</v>
      </c>
      <c r="X176" s="807" t="s">
        <v>35</v>
      </c>
      <c r="Y176" s="807" t="s">
        <v>35</v>
      </c>
      <c r="Z176" s="807" t="s">
        <v>35</v>
      </c>
      <c r="AA176" s="807" t="s">
        <v>35</v>
      </c>
      <c r="AB176" s="807" t="s">
        <v>35</v>
      </c>
      <c r="AC176" s="807" t="s">
        <v>35</v>
      </c>
      <c r="AD176" s="807" t="s">
        <v>35</v>
      </c>
      <c r="AE176" s="807" t="s">
        <v>35</v>
      </c>
      <c r="AF176" s="807" t="s">
        <v>35</v>
      </c>
      <c r="AG176" s="807" t="s">
        <v>35</v>
      </c>
      <c r="AH176" s="807" t="s">
        <v>35</v>
      </c>
      <c r="AI176" s="807" t="s">
        <v>35</v>
      </c>
      <c r="AJ176" s="807" t="s">
        <v>35</v>
      </c>
    </row>
    <row r="177" spans="1:36" ht="18.75" customHeight="1" x14ac:dyDescent="0.25">
      <c r="A177" s="117" t="s">
        <v>220</v>
      </c>
      <c r="B177" s="119" t="s">
        <v>219</v>
      </c>
      <c r="C177" s="119" t="s">
        <v>218</v>
      </c>
      <c r="D177" s="119" t="s">
        <v>4352</v>
      </c>
      <c r="E177" s="119" t="s">
        <v>2977</v>
      </c>
      <c r="F177" s="119" t="s">
        <v>3651</v>
      </c>
      <c r="G177" s="119" t="s">
        <v>4353</v>
      </c>
      <c r="H177" s="119" t="s">
        <v>4354</v>
      </c>
      <c r="I177" s="119">
        <v>1188</v>
      </c>
      <c r="J177" s="120" t="s">
        <v>4355</v>
      </c>
      <c r="K177" s="120" t="s">
        <v>35</v>
      </c>
      <c r="L177" s="119" t="s">
        <v>3742</v>
      </c>
      <c r="M177" s="119" t="s">
        <v>4356</v>
      </c>
      <c r="N177" s="119" t="s">
        <v>35</v>
      </c>
      <c r="O177" s="119" t="s">
        <v>35</v>
      </c>
      <c r="P177" s="119" t="s">
        <v>35</v>
      </c>
      <c r="Q177" s="119" t="s">
        <v>35</v>
      </c>
      <c r="R177" s="119" t="s">
        <v>35</v>
      </c>
      <c r="S177" s="119" t="s">
        <v>35</v>
      </c>
      <c r="T177" s="119" t="s">
        <v>4357</v>
      </c>
      <c r="U177" s="119" t="s">
        <v>4358</v>
      </c>
      <c r="V177" s="119" t="s">
        <v>4359</v>
      </c>
      <c r="W177" s="119" t="s">
        <v>4360</v>
      </c>
      <c r="X177" s="119" t="s">
        <v>4361</v>
      </c>
      <c r="Y177" s="119" t="s">
        <v>4362</v>
      </c>
      <c r="Z177" s="119" t="s">
        <v>4363</v>
      </c>
      <c r="AA177" s="119" t="s">
        <v>4364</v>
      </c>
      <c r="AB177" s="119" t="s">
        <v>4365</v>
      </c>
      <c r="AC177" s="119" t="s">
        <v>4366</v>
      </c>
      <c r="AD177" s="119" t="s">
        <v>4367</v>
      </c>
      <c r="AE177" s="119" t="s">
        <v>4368</v>
      </c>
      <c r="AF177" s="119" t="s">
        <v>4369</v>
      </c>
      <c r="AG177" s="119" t="s">
        <v>4370</v>
      </c>
      <c r="AH177" s="119" t="s">
        <v>4371</v>
      </c>
      <c r="AI177" s="119" t="s">
        <v>4372</v>
      </c>
      <c r="AJ177" s="119" t="s">
        <v>4373</v>
      </c>
    </row>
    <row r="178" spans="1:36" ht="18.75" customHeight="1" x14ac:dyDescent="0.25">
      <c r="A178" s="117" t="s">
        <v>220</v>
      </c>
      <c r="B178" s="119" t="s">
        <v>219</v>
      </c>
      <c r="C178" s="119" t="s">
        <v>218</v>
      </c>
      <c r="D178" s="119" t="s">
        <v>4374</v>
      </c>
      <c r="E178" s="119" t="s">
        <v>2977</v>
      </c>
      <c r="F178" s="119" t="s">
        <v>4375</v>
      </c>
      <c r="G178" s="119" t="s">
        <v>3111</v>
      </c>
      <c r="H178" s="119" t="s">
        <v>4376</v>
      </c>
      <c r="I178" s="119">
        <v>1257</v>
      </c>
      <c r="J178" s="120" t="s">
        <v>4377</v>
      </c>
      <c r="K178" s="120" t="s">
        <v>35</v>
      </c>
      <c r="L178" s="119" t="s">
        <v>3742</v>
      </c>
      <c r="M178" s="119" t="s">
        <v>4378</v>
      </c>
      <c r="N178" s="119" t="s">
        <v>35</v>
      </c>
      <c r="O178" s="119" t="s">
        <v>35</v>
      </c>
      <c r="P178" s="119" t="s">
        <v>35</v>
      </c>
      <c r="Q178" s="119" t="s">
        <v>35</v>
      </c>
      <c r="R178" s="119" t="s">
        <v>35</v>
      </c>
      <c r="S178" s="119" t="s">
        <v>35</v>
      </c>
      <c r="T178" s="119" t="s">
        <v>35</v>
      </c>
      <c r="U178" s="119" t="s">
        <v>35</v>
      </c>
      <c r="V178" s="119" t="s">
        <v>35</v>
      </c>
      <c r="W178" s="119" t="s">
        <v>35</v>
      </c>
      <c r="X178" s="119" t="s">
        <v>35</v>
      </c>
      <c r="Y178" s="119" t="s">
        <v>35</v>
      </c>
      <c r="Z178" s="119" t="s">
        <v>35</v>
      </c>
      <c r="AA178" s="119" t="s">
        <v>35</v>
      </c>
      <c r="AB178" s="119" t="s">
        <v>35</v>
      </c>
      <c r="AC178" s="119" t="s">
        <v>35</v>
      </c>
      <c r="AD178" s="119" t="s">
        <v>35</v>
      </c>
      <c r="AE178" s="119" t="s">
        <v>35</v>
      </c>
      <c r="AF178" s="119" t="s">
        <v>35</v>
      </c>
      <c r="AG178" s="119" t="s">
        <v>35</v>
      </c>
      <c r="AH178" s="119" t="s">
        <v>35</v>
      </c>
      <c r="AI178" s="119" t="s">
        <v>35</v>
      </c>
      <c r="AJ178" s="119" t="s">
        <v>35</v>
      </c>
    </row>
    <row r="179" spans="1:36" ht="18.75" customHeight="1" x14ac:dyDescent="0.25">
      <c r="A179" s="117" t="s">
        <v>220</v>
      </c>
      <c r="B179" s="119" t="s">
        <v>219</v>
      </c>
      <c r="C179" s="119" t="s">
        <v>218</v>
      </c>
      <c r="D179" s="119" t="s">
        <v>4379</v>
      </c>
      <c r="E179" s="119" t="s">
        <v>2977</v>
      </c>
      <c r="F179" s="119" t="s">
        <v>3688</v>
      </c>
      <c r="G179" s="119" t="s">
        <v>3084</v>
      </c>
      <c r="H179" s="119" t="s">
        <v>4380</v>
      </c>
      <c r="I179" s="119">
        <v>1203</v>
      </c>
      <c r="J179" s="120" t="s">
        <v>4377</v>
      </c>
      <c r="K179" s="120" t="s">
        <v>35</v>
      </c>
      <c r="L179" s="119" t="s">
        <v>3742</v>
      </c>
      <c r="M179" s="119" t="s">
        <v>4381</v>
      </c>
      <c r="N179" s="119" t="s">
        <v>35</v>
      </c>
      <c r="O179" s="119" t="s">
        <v>35</v>
      </c>
      <c r="P179" s="119" t="s">
        <v>35</v>
      </c>
      <c r="Q179" s="119" t="s">
        <v>35</v>
      </c>
      <c r="R179" s="119" t="s">
        <v>35</v>
      </c>
      <c r="S179" s="119" t="s">
        <v>35</v>
      </c>
      <c r="T179" s="119" t="s">
        <v>35</v>
      </c>
      <c r="U179" s="119" t="s">
        <v>35</v>
      </c>
      <c r="V179" s="119" t="s">
        <v>35</v>
      </c>
      <c r="W179" s="119" t="s">
        <v>35</v>
      </c>
      <c r="X179" s="119" t="s">
        <v>35</v>
      </c>
      <c r="Y179" s="119" t="s">
        <v>35</v>
      </c>
      <c r="Z179" s="119" t="s">
        <v>35</v>
      </c>
      <c r="AA179" s="119" t="s">
        <v>35</v>
      </c>
      <c r="AB179" s="119" t="s">
        <v>35</v>
      </c>
      <c r="AC179" s="119" t="s">
        <v>35</v>
      </c>
      <c r="AD179" s="119" t="s">
        <v>35</v>
      </c>
      <c r="AE179" s="119" t="s">
        <v>35</v>
      </c>
      <c r="AF179" s="119" t="s">
        <v>35</v>
      </c>
      <c r="AG179" s="119" t="s">
        <v>35</v>
      </c>
      <c r="AH179" s="119" t="s">
        <v>35</v>
      </c>
      <c r="AI179" s="119" t="s">
        <v>35</v>
      </c>
      <c r="AJ179" s="119" t="s">
        <v>35</v>
      </c>
    </row>
    <row r="180" spans="1:36" ht="18.75" customHeight="1" x14ac:dyDescent="0.25">
      <c r="A180" s="117" t="s">
        <v>220</v>
      </c>
      <c r="B180" s="119" t="s">
        <v>219</v>
      </c>
      <c r="C180" s="119" t="s">
        <v>218</v>
      </c>
      <c r="D180" s="119" t="s">
        <v>4382</v>
      </c>
      <c r="E180" s="119" t="s">
        <v>2977</v>
      </c>
      <c r="F180" s="119" t="s">
        <v>3817</v>
      </c>
      <c r="G180" s="119" t="s">
        <v>3047</v>
      </c>
      <c r="H180" s="119" t="s">
        <v>4383</v>
      </c>
      <c r="I180" s="119">
        <v>1188</v>
      </c>
      <c r="J180" s="120" t="s">
        <v>4384</v>
      </c>
      <c r="K180" s="120" t="s">
        <v>35</v>
      </c>
      <c r="L180" s="119" t="s">
        <v>3742</v>
      </c>
      <c r="M180" s="119" t="s">
        <v>4356</v>
      </c>
      <c r="N180" s="119" t="s">
        <v>35</v>
      </c>
      <c r="O180" s="119" t="s">
        <v>35</v>
      </c>
      <c r="P180" s="119" t="s">
        <v>35</v>
      </c>
      <c r="Q180" s="119" t="s">
        <v>35</v>
      </c>
      <c r="R180" s="119" t="s">
        <v>35</v>
      </c>
      <c r="S180" s="119" t="s">
        <v>35</v>
      </c>
      <c r="T180" s="119" t="s">
        <v>35</v>
      </c>
      <c r="U180" s="119" t="s">
        <v>35</v>
      </c>
      <c r="V180" s="119" t="s">
        <v>35</v>
      </c>
      <c r="W180" s="119" t="s">
        <v>35</v>
      </c>
      <c r="X180" s="119" t="s">
        <v>35</v>
      </c>
      <c r="Y180" s="119" t="s">
        <v>35</v>
      </c>
      <c r="Z180" s="119" t="s">
        <v>35</v>
      </c>
      <c r="AA180" s="119" t="s">
        <v>35</v>
      </c>
      <c r="AB180" s="119" t="s">
        <v>35</v>
      </c>
      <c r="AC180" s="119" t="s">
        <v>35</v>
      </c>
      <c r="AD180" s="119" t="s">
        <v>35</v>
      </c>
      <c r="AE180" s="119" t="s">
        <v>35</v>
      </c>
      <c r="AF180" s="119" t="s">
        <v>35</v>
      </c>
      <c r="AG180" s="119" t="s">
        <v>35</v>
      </c>
      <c r="AH180" s="119" t="s">
        <v>35</v>
      </c>
      <c r="AI180" s="119" t="s">
        <v>35</v>
      </c>
      <c r="AJ180" s="119" t="s">
        <v>35</v>
      </c>
    </row>
    <row r="181" spans="1:36" ht="18.75" customHeight="1" x14ac:dyDescent="0.25">
      <c r="A181" s="118" t="s">
        <v>153</v>
      </c>
      <c r="B181" s="807" t="s">
        <v>152</v>
      </c>
      <c r="C181" s="807" t="s">
        <v>151</v>
      </c>
      <c r="D181" s="807" t="s">
        <v>4385</v>
      </c>
      <c r="E181" s="807" t="s">
        <v>2977</v>
      </c>
      <c r="F181" s="807" t="s">
        <v>312</v>
      </c>
      <c r="G181" s="807" t="s">
        <v>312</v>
      </c>
      <c r="H181" s="807" t="s">
        <v>4386</v>
      </c>
      <c r="I181" s="807">
        <v>3065</v>
      </c>
      <c r="J181" s="124" t="s">
        <v>4387</v>
      </c>
      <c r="K181" s="124" t="s">
        <v>35</v>
      </c>
      <c r="L181" s="807" t="s">
        <v>2980</v>
      </c>
      <c r="M181" s="807" t="s">
        <v>4388</v>
      </c>
      <c r="N181" s="807" t="s">
        <v>4389</v>
      </c>
      <c r="O181" s="807" t="s">
        <v>35</v>
      </c>
      <c r="P181" s="807" t="s">
        <v>3705</v>
      </c>
      <c r="Q181" s="807" t="s">
        <v>4390</v>
      </c>
      <c r="R181" s="807" t="s">
        <v>7</v>
      </c>
      <c r="S181" s="807" t="s">
        <v>3024</v>
      </c>
      <c r="T181" s="807" t="s">
        <v>4391</v>
      </c>
      <c r="U181" s="807" t="s">
        <v>4392</v>
      </c>
      <c r="V181" s="807" t="s">
        <v>4393</v>
      </c>
      <c r="W181" s="807" t="s">
        <v>4394</v>
      </c>
      <c r="X181" s="807" t="s">
        <v>4358</v>
      </c>
      <c r="Y181" s="807" t="s">
        <v>4395</v>
      </c>
      <c r="Z181" s="807" t="s">
        <v>4396</v>
      </c>
      <c r="AA181" s="807" t="s">
        <v>4397</v>
      </c>
      <c r="AB181" s="807" t="s">
        <v>4398</v>
      </c>
      <c r="AC181" s="807" t="s">
        <v>4399</v>
      </c>
      <c r="AD181" s="807" t="s">
        <v>4400</v>
      </c>
      <c r="AE181" s="807" t="s">
        <v>4401</v>
      </c>
      <c r="AF181" s="807" t="s">
        <v>4402</v>
      </c>
      <c r="AG181" s="807" t="s">
        <v>4403</v>
      </c>
      <c r="AH181" s="807" t="s">
        <v>4404</v>
      </c>
      <c r="AI181" s="807" t="s">
        <v>4405</v>
      </c>
      <c r="AJ181" s="807" t="s">
        <v>4406</v>
      </c>
    </row>
    <row r="182" spans="1:36" ht="18.75" customHeight="1" x14ac:dyDescent="0.25">
      <c r="A182" s="118" t="s">
        <v>153</v>
      </c>
      <c r="B182" s="807" t="s">
        <v>152</v>
      </c>
      <c r="C182" s="807" t="s">
        <v>151</v>
      </c>
      <c r="D182" s="807" t="s">
        <v>4407</v>
      </c>
      <c r="E182" s="807" t="s">
        <v>2977</v>
      </c>
      <c r="F182" s="807">
        <v>0</v>
      </c>
      <c r="G182" s="807" t="s">
        <v>35</v>
      </c>
      <c r="H182" s="807" t="s">
        <v>4408</v>
      </c>
      <c r="I182" s="807">
        <v>2856</v>
      </c>
      <c r="J182" s="124" t="s">
        <v>4409</v>
      </c>
      <c r="K182" s="124" t="s">
        <v>35</v>
      </c>
      <c r="L182" s="807" t="s">
        <v>2980</v>
      </c>
      <c r="M182" s="807" t="s">
        <v>4388</v>
      </c>
      <c r="N182" s="807" t="s">
        <v>4389</v>
      </c>
      <c r="O182" s="807" t="s">
        <v>35</v>
      </c>
      <c r="P182" s="807" t="s">
        <v>4410</v>
      </c>
      <c r="Q182" s="807" t="s">
        <v>4411</v>
      </c>
      <c r="R182" s="807" t="s">
        <v>7</v>
      </c>
      <c r="S182" s="807" t="s">
        <v>3024</v>
      </c>
      <c r="T182" s="807" t="s">
        <v>35</v>
      </c>
      <c r="U182" s="807" t="s">
        <v>35</v>
      </c>
      <c r="V182" s="807" t="s">
        <v>35</v>
      </c>
      <c r="W182" s="807" t="s">
        <v>35</v>
      </c>
      <c r="X182" s="807" t="s">
        <v>35</v>
      </c>
      <c r="Y182" s="807" t="s">
        <v>35</v>
      </c>
      <c r="Z182" s="807" t="s">
        <v>35</v>
      </c>
      <c r="AA182" s="807" t="s">
        <v>35</v>
      </c>
      <c r="AB182" s="807" t="s">
        <v>35</v>
      </c>
      <c r="AC182" s="807" t="s">
        <v>35</v>
      </c>
      <c r="AD182" s="807" t="s">
        <v>35</v>
      </c>
      <c r="AE182" s="807" t="s">
        <v>35</v>
      </c>
      <c r="AF182" s="807" t="s">
        <v>35</v>
      </c>
      <c r="AG182" s="807" t="s">
        <v>35</v>
      </c>
      <c r="AH182" s="807" t="s">
        <v>35</v>
      </c>
      <c r="AI182" s="807" t="s">
        <v>35</v>
      </c>
      <c r="AJ182" s="807" t="s">
        <v>35</v>
      </c>
    </row>
    <row r="183" spans="1:36" ht="18.75" customHeight="1" x14ac:dyDescent="0.25">
      <c r="A183" s="118" t="s">
        <v>153</v>
      </c>
      <c r="B183" s="807" t="s">
        <v>152</v>
      </c>
      <c r="C183" s="807" t="s">
        <v>151</v>
      </c>
      <c r="D183" s="807" t="s">
        <v>4412</v>
      </c>
      <c r="E183" s="807" t="s">
        <v>2977</v>
      </c>
      <c r="F183" s="807" t="s">
        <v>4413</v>
      </c>
      <c r="G183" s="807" t="s">
        <v>3136</v>
      </c>
      <c r="H183" s="807" t="s">
        <v>4414</v>
      </c>
      <c r="I183" s="807">
        <v>1174</v>
      </c>
      <c r="J183" s="124" t="s">
        <v>4415</v>
      </c>
      <c r="K183" s="124" t="s">
        <v>35</v>
      </c>
      <c r="L183" s="807" t="s">
        <v>2980</v>
      </c>
      <c r="M183" s="807" t="s">
        <v>4416</v>
      </c>
      <c r="N183" s="807" t="s">
        <v>4417</v>
      </c>
      <c r="O183" s="807" t="s">
        <v>35</v>
      </c>
      <c r="P183" s="807" t="s">
        <v>4418</v>
      </c>
      <c r="Q183" s="807" t="s">
        <v>4419</v>
      </c>
      <c r="R183" s="807" t="s">
        <v>7</v>
      </c>
      <c r="S183" s="807" t="s">
        <v>35</v>
      </c>
      <c r="T183" s="807" t="s">
        <v>35</v>
      </c>
      <c r="U183" s="807" t="s">
        <v>35</v>
      </c>
      <c r="V183" s="807" t="s">
        <v>35</v>
      </c>
      <c r="W183" s="807" t="s">
        <v>35</v>
      </c>
      <c r="X183" s="807" t="s">
        <v>35</v>
      </c>
      <c r="Y183" s="807" t="s">
        <v>35</v>
      </c>
      <c r="Z183" s="807" t="s">
        <v>35</v>
      </c>
      <c r="AA183" s="807" t="s">
        <v>35</v>
      </c>
      <c r="AB183" s="807" t="s">
        <v>35</v>
      </c>
      <c r="AC183" s="807" t="s">
        <v>35</v>
      </c>
      <c r="AD183" s="807" t="s">
        <v>35</v>
      </c>
      <c r="AE183" s="807" t="s">
        <v>35</v>
      </c>
      <c r="AF183" s="807" t="s">
        <v>35</v>
      </c>
      <c r="AG183" s="807" t="s">
        <v>35</v>
      </c>
      <c r="AH183" s="807" t="s">
        <v>35</v>
      </c>
      <c r="AI183" s="807" t="s">
        <v>35</v>
      </c>
      <c r="AJ183" s="807" t="s">
        <v>35</v>
      </c>
    </row>
    <row r="184" spans="1:36" ht="18.75" customHeight="1" x14ac:dyDescent="0.25">
      <c r="A184" s="118" t="s">
        <v>153</v>
      </c>
      <c r="B184" s="807" t="s">
        <v>152</v>
      </c>
      <c r="C184" s="807" t="s">
        <v>151</v>
      </c>
      <c r="D184" s="807" t="s">
        <v>4420</v>
      </c>
      <c r="E184" s="807" t="s">
        <v>2977</v>
      </c>
      <c r="F184" s="807" t="s">
        <v>4421</v>
      </c>
      <c r="G184" s="807" t="s">
        <v>3136</v>
      </c>
      <c r="H184" s="807" t="s">
        <v>4422</v>
      </c>
      <c r="I184" s="807">
        <v>2856</v>
      </c>
      <c r="J184" s="124" t="s">
        <v>4423</v>
      </c>
      <c r="K184" s="124" t="s">
        <v>35</v>
      </c>
      <c r="L184" s="807" t="s">
        <v>2980</v>
      </c>
      <c r="M184" s="807" t="s">
        <v>4388</v>
      </c>
      <c r="N184" s="807" t="s">
        <v>4389</v>
      </c>
      <c r="O184" s="807" t="s">
        <v>35</v>
      </c>
      <c r="P184" s="807" t="s">
        <v>4410</v>
      </c>
      <c r="Q184" s="807" t="s">
        <v>4411</v>
      </c>
      <c r="R184" s="807" t="s">
        <v>7</v>
      </c>
      <c r="S184" s="807" t="s">
        <v>3024</v>
      </c>
      <c r="T184" s="807" t="s">
        <v>35</v>
      </c>
      <c r="U184" s="807" t="s">
        <v>35</v>
      </c>
      <c r="V184" s="807" t="s">
        <v>35</v>
      </c>
      <c r="W184" s="807" t="s">
        <v>35</v>
      </c>
      <c r="X184" s="807" t="s">
        <v>35</v>
      </c>
      <c r="Y184" s="807" t="s">
        <v>35</v>
      </c>
      <c r="Z184" s="807" t="s">
        <v>35</v>
      </c>
      <c r="AA184" s="807" t="s">
        <v>35</v>
      </c>
      <c r="AB184" s="807" t="s">
        <v>35</v>
      </c>
      <c r="AC184" s="807" t="s">
        <v>35</v>
      </c>
      <c r="AD184" s="807" t="s">
        <v>35</v>
      </c>
      <c r="AE184" s="807" t="s">
        <v>35</v>
      </c>
      <c r="AF184" s="807" t="s">
        <v>35</v>
      </c>
      <c r="AG184" s="807" t="s">
        <v>35</v>
      </c>
      <c r="AH184" s="807" t="s">
        <v>35</v>
      </c>
      <c r="AI184" s="807" t="s">
        <v>35</v>
      </c>
      <c r="AJ184" s="807" t="s">
        <v>35</v>
      </c>
    </row>
    <row r="185" spans="1:36" ht="18.75" customHeight="1" x14ac:dyDescent="0.25">
      <c r="A185" s="118" t="s">
        <v>153</v>
      </c>
      <c r="B185" s="807" t="s">
        <v>152</v>
      </c>
      <c r="C185" s="807" t="s">
        <v>151</v>
      </c>
      <c r="D185" s="807" t="s">
        <v>4424</v>
      </c>
      <c r="E185" s="807" t="s">
        <v>2977</v>
      </c>
      <c r="F185" s="807" t="s">
        <v>3512</v>
      </c>
      <c r="G185" s="807" t="s">
        <v>3136</v>
      </c>
      <c r="H185" s="807" t="s">
        <v>4425</v>
      </c>
      <c r="I185" s="807">
        <v>3065</v>
      </c>
      <c r="J185" s="124" t="s">
        <v>4426</v>
      </c>
      <c r="K185" s="124" t="s">
        <v>35</v>
      </c>
      <c r="L185" s="807" t="s">
        <v>2980</v>
      </c>
      <c r="M185" s="807" t="s">
        <v>4388</v>
      </c>
      <c r="N185" s="807" t="s">
        <v>4389</v>
      </c>
      <c r="O185" s="807" t="s">
        <v>35</v>
      </c>
      <c r="P185" s="807" t="s">
        <v>3705</v>
      </c>
      <c r="Q185" s="807" t="s">
        <v>4390</v>
      </c>
      <c r="R185" s="807" t="s">
        <v>7</v>
      </c>
      <c r="S185" s="807" t="s">
        <v>3024</v>
      </c>
      <c r="T185" s="807" t="s">
        <v>35</v>
      </c>
      <c r="U185" s="807" t="s">
        <v>35</v>
      </c>
      <c r="V185" s="807" t="s">
        <v>35</v>
      </c>
      <c r="W185" s="807" t="s">
        <v>35</v>
      </c>
      <c r="X185" s="807" t="s">
        <v>35</v>
      </c>
      <c r="Y185" s="807" t="s">
        <v>35</v>
      </c>
      <c r="Z185" s="807" t="s">
        <v>35</v>
      </c>
      <c r="AA185" s="807" t="s">
        <v>35</v>
      </c>
      <c r="AB185" s="807" t="s">
        <v>35</v>
      </c>
      <c r="AC185" s="807" t="s">
        <v>35</v>
      </c>
      <c r="AD185" s="807" t="s">
        <v>35</v>
      </c>
      <c r="AE185" s="807" t="s">
        <v>35</v>
      </c>
      <c r="AF185" s="807" t="s">
        <v>35</v>
      </c>
      <c r="AG185" s="807" t="s">
        <v>35</v>
      </c>
      <c r="AH185" s="807" t="s">
        <v>35</v>
      </c>
      <c r="AI185" s="807" t="s">
        <v>35</v>
      </c>
      <c r="AJ185" s="807" t="s">
        <v>35</v>
      </c>
    </row>
    <row r="186" spans="1:36" ht="18.75" customHeight="1" x14ac:dyDescent="0.25">
      <c r="A186" s="117" t="s">
        <v>223</v>
      </c>
      <c r="B186" s="119" t="s">
        <v>222</v>
      </c>
      <c r="C186" s="119" t="s">
        <v>221</v>
      </c>
      <c r="D186" s="119" t="s">
        <v>4427</v>
      </c>
      <c r="E186" s="119" t="s">
        <v>2977</v>
      </c>
      <c r="F186" s="119" t="s">
        <v>4428</v>
      </c>
      <c r="G186" s="119" t="s">
        <v>3282</v>
      </c>
      <c r="H186" s="119" t="s">
        <v>4429</v>
      </c>
      <c r="I186" s="119">
        <v>1514</v>
      </c>
      <c r="J186" s="120" t="s">
        <v>4430</v>
      </c>
      <c r="K186" s="120" t="s">
        <v>35</v>
      </c>
      <c r="L186" s="119" t="s">
        <v>2980</v>
      </c>
      <c r="M186" s="119" t="s">
        <v>4431</v>
      </c>
      <c r="N186" s="119" t="s">
        <v>4432</v>
      </c>
      <c r="O186" s="119" t="s">
        <v>35</v>
      </c>
      <c r="P186" s="119" t="s">
        <v>4433</v>
      </c>
      <c r="Q186" s="119" t="s">
        <v>3798</v>
      </c>
      <c r="R186" s="119" t="s">
        <v>7</v>
      </c>
      <c r="S186" s="119" t="s">
        <v>7</v>
      </c>
      <c r="T186" s="119" t="s">
        <v>4434</v>
      </c>
      <c r="U186" s="119" t="s">
        <v>4435</v>
      </c>
      <c r="V186" s="119" t="s">
        <v>4436</v>
      </c>
      <c r="W186" s="119" t="s">
        <v>4437</v>
      </c>
      <c r="X186" s="119" t="s">
        <v>4438</v>
      </c>
      <c r="Y186" s="119" t="s">
        <v>4439</v>
      </c>
      <c r="Z186" s="119" t="s">
        <v>4440</v>
      </c>
      <c r="AA186" s="119" t="s">
        <v>4441</v>
      </c>
      <c r="AB186" s="119" t="s">
        <v>4442</v>
      </c>
      <c r="AC186" s="119" t="s">
        <v>4443</v>
      </c>
      <c r="AD186" s="119" t="s">
        <v>4444</v>
      </c>
      <c r="AE186" s="119" t="s">
        <v>4445</v>
      </c>
      <c r="AF186" s="119" t="s">
        <v>3778</v>
      </c>
      <c r="AG186" s="119" t="s">
        <v>3778</v>
      </c>
      <c r="AH186" s="119" t="s">
        <v>3778</v>
      </c>
      <c r="AI186" s="119" t="s">
        <v>3778</v>
      </c>
      <c r="AJ186" s="119" t="s">
        <v>4446</v>
      </c>
    </row>
    <row r="187" spans="1:36" ht="18.75" customHeight="1" x14ac:dyDescent="0.25">
      <c r="A187" s="117" t="s">
        <v>223</v>
      </c>
      <c r="B187" s="119" t="s">
        <v>222</v>
      </c>
      <c r="C187" s="119" t="s">
        <v>221</v>
      </c>
      <c r="D187" s="119" t="s">
        <v>4447</v>
      </c>
      <c r="E187" s="119" t="s">
        <v>2977</v>
      </c>
      <c r="F187" s="119" t="s">
        <v>4140</v>
      </c>
      <c r="G187" s="119" t="s">
        <v>3136</v>
      </c>
      <c r="H187" s="119" t="s">
        <v>4448</v>
      </c>
      <c r="I187" s="119">
        <v>1508</v>
      </c>
      <c r="J187" s="120" t="s">
        <v>4449</v>
      </c>
      <c r="K187" s="120" t="s">
        <v>35</v>
      </c>
      <c r="L187" s="119" t="s">
        <v>2980</v>
      </c>
      <c r="M187" s="119" t="s">
        <v>4450</v>
      </c>
      <c r="N187" s="119" t="s">
        <v>4451</v>
      </c>
      <c r="O187" s="119" t="s">
        <v>35</v>
      </c>
      <c r="P187" s="119" t="s">
        <v>3420</v>
      </c>
      <c r="Q187" s="119" t="s">
        <v>3389</v>
      </c>
      <c r="R187" s="119" t="s">
        <v>7</v>
      </c>
      <c r="S187" s="119" t="s">
        <v>7</v>
      </c>
      <c r="T187" s="119" t="s">
        <v>35</v>
      </c>
      <c r="U187" s="119" t="s">
        <v>35</v>
      </c>
      <c r="V187" s="119" t="s">
        <v>35</v>
      </c>
      <c r="W187" s="119" t="s">
        <v>35</v>
      </c>
      <c r="X187" s="119" t="s">
        <v>35</v>
      </c>
      <c r="Y187" s="119" t="s">
        <v>35</v>
      </c>
      <c r="Z187" s="119" t="s">
        <v>35</v>
      </c>
      <c r="AA187" s="119" t="s">
        <v>35</v>
      </c>
      <c r="AB187" s="119" t="s">
        <v>35</v>
      </c>
      <c r="AC187" s="119" t="s">
        <v>35</v>
      </c>
      <c r="AD187" s="119" t="s">
        <v>35</v>
      </c>
      <c r="AE187" s="119" t="s">
        <v>35</v>
      </c>
      <c r="AF187" s="119" t="s">
        <v>35</v>
      </c>
      <c r="AG187" s="119" t="s">
        <v>35</v>
      </c>
      <c r="AH187" s="119" t="s">
        <v>35</v>
      </c>
      <c r="AI187" s="119" t="s">
        <v>35</v>
      </c>
      <c r="AJ187" s="119" t="s">
        <v>35</v>
      </c>
    </row>
    <row r="188" spans="1:36" ht="18.75" customHeight="1" x14ac:dyDescent="0.25">
      <c r="A188" s="117" t="s">
        <v>223</v>
      </c>
      <c r="B188" s="119" t="s">
        <v>222</v>
      </c>
      <c r="C188" s="119" t="s">
        <v>221</v>
      </c>
      <c r="D188" s="119" t="s">
        <v>4452</v>
      </c>
      <c r="E188" s="119" t="s">
        <v>3316</v>
      </c>
      <c r="F188" s="119" t="s">
        <v>312</v>
      </c>
      <c r="G188" s="119" t="s">
        <v>312</v>
      </c>
      <c r="H188" s="119" t="s">
        <v>4453</v>
      </c>
      <c r="I188" s="119">
        <v>69</v>
      </c>
      <c r="J188" s="120" t="s">
        <v>4454</v>
      </c>
      <c r="K188" s="120" t="s">
        <v>35</v>
      </c>
      <c r="L188" s="119" t="s">
        <v>3318</v>
      </c>
      <c r="M188" s="119" t="s">
        <v>4455</v>
      </c>
      <c r="N188" s="119" t="s">
        <v>35</v>
      </c>
      <c r="O188" s="119" t="s">
        <v>35</v>
      </c>
      <c r="P188" s="119" t="s">
        <v>35</v>
      </c>
      <c r="Q188" s="119" t="s">
        <v>35</v>
      </c>
      <c r="R188" s="119" t="s">
        <v>35</v>
      </c>
      <c r="S188" s="119" t="s">
        <v>35</v>
      </c>
      <c r="T188" s="119" t="s">
        <v>35</v>
      </c>
      <c r="U188" s="119" t="s">
        <v>35</v>
      </c>
      <c r="V188" s="119" t="s">
        <v>35</v>
      </c>
      <c r="W188" s="119" t="s">
        <v>35</v>
      </c>
      <c r="X188" s="119" t="s">
        <v>35</v>
      </c>
      <c r="Y188" s="119" t="s">
        <v>35</v>
      </c>
      <c r="Z188" s="119" t="s">
        <v>35</v>
      </c>
      <c r="AA188" s="119" t="s">
        <v>35</v>
      </c>
      <c r="AB188" s="119" t="s">
        <v>35</v>
      </c>
      <c r="AC188" s="119" t="s">
        <v>35</v>
      </c>
      <c r="AD188" s="119" t="s">
        <v>35</v>
      </c>
      <c r="AE188" s="119" t="s">
        <v>35</v>
      </c>
      <c r="AF188" s="119" t="s">
        <v>35</v>
      </c>
      <c r="AG188" s="119" t="s">
        <v>35</v>
      </c>
      <c r="AH188" s="119" t="s">
        <v>35</v>
      </c>
      <c r="AI188" s="119" t="s">
        <v>35</v>
      </c>
      <c r="AJ188" s="119" t="s">
        <v>35</v>
      </c>
    </row>
    <row r="189" spans="1:36" ht="18.75" customHeight="1" x14ac:dyDescent="0.25">
      <c r="A189" s="117" t="s">
        <v>223</v>
      </c>
      <c r="B189" s="119" t="s">
        <v>222</v>
      </c>
      <c r="C189" s="119" t="s">
        <v>221</v>
      </c>
      <c r="D189" s="119" t="s">
        <v>4456</v>
      </c>
      <c r="E189" s="119" t="s">
        <v>3316</v>
      </c>
      <c r="F189" s="119" t="s">
        <v>312</v>
      </c>
      <c r="G189" s="119" t="s">
        <v>312</v>
      </c>
      <c r="H189" s="119" t="s">
        <v>4457</v>
      </c>
      <c r="I189" s="119">
        <v>331</v>
      </c>
      <c r="J189" s="120" t="s">
        <v>4458</v>
      </c>
      <c r="K189" s="120" t="s">
        <v>35</v>
      </c>
      <c r="L189" s="119" t="s">
        <v>3318</v>
      </c>
      <c r="M189" s="119" t="s">
        <v>4459</v>
      </c>
      <c r="N189" s="119" t="s">
        <v>35</v>
      </c>
      <c r="O189" s="119" t="s">
        <v>35</v>
      </c>
      <c r="P189" s="119" t="s">
        <v>35</v>
      </c>
      <c r="Q189" s="119" t="s">
        <v>35</v>
      </c>
      <c r="R189" s="119" t="s">
        <v>35</v>
      </c>
      <c r="S189" s="119" t="s">
        <v>35</v>
      </c>
      <c r="T189" s="119" t="s">
        <v>35</v>
      </c>
      <c r="U189" s="119" t="s">
        <v>35</v>
      </c>
      <c r="V189" s="119" t="s">
        <v>35</v>
      </c>
      <c r="W189" s="119" t="s">
        <v>35</v>
      </c>
      <c r="X189" s="119" t="s">
        <v>35</v>
      </c>
      <c r="Y189" s="119" t="s">
        <v>35</v>
      </c>
      <c r="Z189" s="119" t="s">
        <v>35</v>
      </c>
      <c r="AA189" s="119" t="s">
        <v>35</v>
      </c>
      <c r="AB189" s="119" t="s">
        <v>35</v>
      </c>
      <c r="AC189" s="119" t="s">
        <v>35</v>
      </c>
      <c r="AD189" s="119" t="s">
        <v>35</v>
      </c>
      <c r="AE189" s="119" t="s">
        <v>35</v>
      </c>
      <c r="AF189" s="119" t="s">
        <v>35</v>
      </c>
      <c r="AG189" s="119" t="s">
        <v>35</v>
      </c>
      <c r="AH189" s="119" t="s">
        <v>35</v>
      </c>
      <c r="AI189" s="119" t="s">
        <v>35</v>
      </c>
      <c r="AJ189" s="119" t="s">
        <v>35</v>
      </c>
    </row>
    <row r="190" spans="1:36" ht="18.75" customHeight="1" x14ac:dyDescent="0.25">
      <c r="A190" s="117" t="s">
        <v>223</v>
      </c>
      <c r="B190" s="119" t="s">
        <v>222</v>
      </c>
      <c r="C190" s="119" t="s">
        <v>221</v>
      </c>
      <c r="D190" s="119" t="s">
        <v>4460</v>
      </c>
      <c r="E190" s="119" t="s">
        <v>2977</v>
      </c>
      <c r="F190" s="119" t="s">
        <v>312</v>
      </c>
      <c r="G190" s="119" t="s">
        <v>312</v>
      </c>
      <c r="H190" s="119" t="s">
        <v>4461</v>
      </c>
      <c r="I190" s="119">
        <v>1231</v>
      </c>
      <c r="J190" s="120" t="s">
        <v>35</v>
      </c>
      <c r="K190" s="120" t="s">
        <v>4462</v>
      </c>
      <c r="L190" s="119" t="s">
        <v>3172</v>
      </c>
      <c r="M190" s="119" t="s">
        <v>4463</v>
      </c>
      <c r="N190" s="119" t="s">
        <v>35</v>
      </c>
      <c r="O190" s="119" t="s">
        <v>35</v>
      </c>
      <c r="P190" s="119" t="s">
        <v>35</v>
      </c>
      <c r="Q190" s="119" t="s">
        <v>35</v>
      </c>
      <c r="R190" s="119" t="s">
        <v>35</v>
      </c>
      <c r="S190" s="119" t="s">
        <v>35</v>
      </c>
      <c r="T190" s="119" t="s">
        <v>35</v>
      </c>
      <c r="U190" s="119" t="s">
        <v>35</v>
      </c>
      <c r="V190" s="119" t="s">
        <v>35</v>
      </c>
      <c r="W190" s="119" t="s">
        <v>35</v>
      </c>
      <c r="X190" s="119" t="s">
        <v>35</v>
      </c>
      <c r="Y190" s="119" t="s">
        <v>35</v>
      </c>
      <c r="Z190" s="119" t="s">
        <v>35</v>
      </c>
      <c r="AA190" s="119" t="s">
        <v>35</v>
      </c>
      <c r="AB190" s="119" t="s">
        <v>35</v>
      </c>
      <c r="AC190" s="119" t="s">
        <v>35</v>
      </c>
      <c r="AD190" s="119" t="s">
        <v>35</v>
      </c>
      <c r="AE190" s="119" t="s">
        <v>35</v>
      </c>
      <c r="AF190" s="119" t="s">
        <v>35</v>
      </c>
      <c r="AG190" s="119" t="s">
        <v>35</v>
      </c>
      <c r="AH190" s="119" t="s">
        <v>35</v>
      </c>
      <c r="AI190" s="119" t="s">
        <v>35</v>
      </c>
      <c r="AJ190" s="119" t="s">
        <v>35</v>
      </c>
    </row>
    <row r="191" spans="1:36" ht="18.75" customHeight="1" x14ac:dyDescent="0.25">
      <c r="A191" s="118" t="s">
        <v>157</v>
      </c>
      <c r="B191" s="807" t="s">
        <v>156</v>
      </c>
      <c r="C191" s="807" t="s">
        <v>155</v>
      </c>
      <c r="D191" s="807" t="s">
        <v>4464</v>
      </c>
      <c r="E191" s="807" t="s">
        <v>2977</v>
      </c>
      <c r="F191" s="807" t="s">
        <v>4465</v>
      </c>
      <c r="G191" s="807" t="s">
        <v>3136</v>
      </c>
      <c r="H191" s="807" t="s">
        <v>4466</v>
      </c>
      <c r="I191" s="807">
        <v>495</v>
      </c>
      <c r="J191" s="124" t="s">
        <v>4191</v>
      </c>
      <c r="K191" s="124" t="s">
        <v>35</v>
      </c>
      <c r="L191" s="807" t="s">
        <v>2980</v>
      </c>
      <c r="M191" s="807" t="s">
        <v>4467</v>
      </c>
      <c r="N191" s="807" t="s">
        <v>4468</v>
      </c>
      <c r="O191" s="807" t="s">
        <v>35</v>
      </c>
      <c r="P191" s="807" t="s">
        <v>3016</v>
      </c>
      <c r="Q191" s="807" t="s">
        <v>4469</v>
      </c>
      <c r="R191" s="807" t="s">
        <v>2985</v>
      </c>
      <c r="S191" s="807" t="s">
        <v>3024</v>
      </c>
      <c r="T191" s="807" t="s">
        <v>4470</v>
      </c>
      <c r="U191" s="807" t="s">
        <v>4471</v>
      </c>
      <c r="V191" s="807" t="s">
        <v>4472</v>
      </c>
      <c r="W191" s="807" t="s">
        <v>4473</v>
      </c>
      <c r="X191" s="807" t="s">
        <v>4474</v>
      </c>
      <c r="Y191" s="807" t="s">
        <v>4475</v>
      </c>
      <c r="Z191" s="807" t="s">
        <v>4476</v>
      </c>
      <c r="AA191" s="807" t="s">
        <v>4477</v>
      </c>
      <c r="AB191" s="807" t="s">
        <v>4478</v>
      </c>
      <c r="AC191" s="807" t="s">
        <v>4479</v>
      </c>
      <c r="AD191" s="807" t="s">
        <v>4480</v>
      </c>
      <c r="AE191" s="807" t="s">
        <v>4481</v>
      </c>
      <c r="AF191" s="807" t="s">
        <v>4482</v>
      </c>
      <c r="AG191" s="807" t="s">
        <v>4483</v>
      </c>
      <c r="AH191" s="807" t="s">
        <v>4484</v>
      </c>
      <c r="AI191" s="807" t="s">
        <v>4485</v>
      </c>
      <c r="AJ191" s="807" t="s">
        <v>4486</v>
      </c>
    </row>
    <row r="192" spans="1:36" ht="18.75" customHeight="1" x14ac:dyDescent="0.25">
      <c r="A192" s="117" t="s">
        <v>948</v>
      </c>
      <c r="B192" s="119" t="s">
        <v>4487</v>
      </c>
      <c r="C192" s="119" t="s">
        <v>160</v>
      </c>
      <c r="D192" s="119" t="s">
        <v>4488</v>
      </c>
      <c r="E192" s="119" t="s">
        <v>2977</v>
      </c>
      <c r="F192" s="119" t="s">
        <v>4489</v>
      </c>
      <c r="G192" s="119" t="s">
        <v>3276</v>
      </c>
      <c r="H192" s="119" t="s">
        <v>4490</v>
      </c>
      <c r="I192" s="119">
        <v>673</v>
      </c>
      <c r="J192" s="120" t="s">
        <v>4491</v>
      </c>
      <c r="K192" s="120" t="s">
        <v>35</v>
      </c>
      <c r="L192" s="119" t="s">
        <v>2980</v>
      </c>
      <c r="M192" s="119" t="s">
        <v>4492</v>
      </c>
      <c r="N192" s="119" t="s">
        <v>4493</v>
      </c>
      <c r="O192" s="119" t="s">
        <v>35</v>
      </c>
      <c r="P192" s="119" t="s">
        <v>4494</v>
      </c>
      <c r="Q192" s="119" t="s">
        <v>3094</v>
      </c>
      <c r="R192" s="119" t="s">
        <v>7</v>
      </c>
      <c r="S192" s="119" t="s">
        <v>3024</v>
      </c>
      <c r="T192" s="119" t="s">
        <v>4495</v>
      </c>
      <c r="U192" s="119" t="s">
        <v>4496</v>
      </c>
      <c r="V192" s="119" t="s">
        <v>4497</v>
      </c>
      <c r="W192" s="119" t="s">
        <v>4498</v>
      </c>
      <c r="X192" s="119" t="s">
        <v>4499</v>
      </c>
      <c r="Y192" s="119" t="s">
        <v>4500</v>
      </c>
      <c r="Z192" s="119" t="s">
        <v>4501</v>
      </c>
      <c r="AA192" s="119" t="s">
        <v>4502</v>
      </c>
      <c r="AB192" s="119" t="s">
        <v>4503</v>
      </c>
      <c r="AC192" s="119" t="s">
        <v>4504</v>
      </c>
      <c r="AD192" s="119" t="s">
        <v>4505</v>
      </c>
      <c r="AE192" s="119" t="s">
        <v>4506</v>
      </c>
      <c r="AF192" s="119" t="s">
        <v>4507</v>
      </c>
      <c r="AG192" s="119" t="s">
        <v>4508</v>
      </c>
      <c r="AH192" s="119" t="s">
        <v>4509</v>
      </c>
      <c r="AI192" s="119" t="s">
        <v>4510</v>
      </c>
      <c r="AJ192" s="119" t="s">
        <v>4511</v>
      </c>
    </row>
    <row r="193" spans="1:36" ht="18.75" customHeight="1" x14ac:dyDescent="0.25">
      <c r="A193" s="118" t="s">
        <v>949</v>
      </c>
      <c r="B193" s="807" t="s">
        <v>4512</v>
      </c>
      <c r="C193" s="807" t="s">
        <v>163</v>
      </c>
      <c r="D193" s="807" t="s">
        <v>4513</v>
      </c>
      <c r="E193" s="807" t="s">
        <v>2977</v>
      </c>
      <c r="F193" s="807" t="s">
        <v>4514</v>
      </c>
      <c r="G193" s="807" t="s">
        <v>3330</v>
      </c>
      <c r="H193" s="807" t="s">
        <v>4515</v>
      </c>
      <c r="I193" s="253">
        <v>925</v>
      </c>
      <c r="J193" s="124" t="s">
        <v>4516</v>
      </c>
      <c r="K193" s="124" t="s">
        <v>35</v>
      </c>
      <c r="L193" s="807" t="s">
        <v>2980</v>
      </c>
      <c r="M193" s="807" t="s">
        <v>4517</v>
      </c>
      <c r="N193" s="807" t="s">
        <v>4518</v>
      </c>
      <c r="O193" s="807" t="s">
        <v>35</v>
      </c>
      <c r="P193" s="807" t="s">
        <v>3705</v>
      </c>
      <c r="Q193" s="807" t="s">
        <v>4519</v>
      </c>
      <c r="R193" s="807" t="s">
        <v>35</v>
      </c>
      <c r="S193" s="807" t="s">
        <v>3024</v>
      </c>
      <c r="T193" s="807" t="s">
        <v>4520</v>
      </c>
      <c r="U193" s="807" t="s">
        <v>4521</v>
      </c>
      <c r="V193" s="807" t="s">
        <v>4522</v>
      </c>
      <c r="W193" s="807" t="s">
        <v>4523</v>
      </c>
      <c r="X193" s="807" t="s">
        <v>4524</v>
      </c>
      <c r="Y193" s="807" t="s">
        <v>4525</v>
      </c>
      <c r="Z193" s="807" t="s">
        <v>4526</v>
      </c>
      <c r="AA193" s="807" t="s">
        <v>4527</v>
      </c>
      <c r="AB193" s="807" t="s">
        <v>4528</v>
      </c>
      <c r="AC193" s="807" t="s">
        <v>4529</v>
      </c>
      <c r="AD193" s="807" t="s">
        <v>4530</v>
      </c>
      <c r="AE193" s="807" t="s">
        <v>4531</v>
      </c>
      <c r="AF193" s="807" t="s">
        <v>4532</v>
      </c>
      <c r="AG193" s="807" t="s">
        <v>4533</v>
      </c>
      <c r="AH193" s="807" t="s">
        <v>4534</v>
      </c>
      <c r="AI193" s="807" t="s">
        <v>4535</v>
      </c>
      <c r="AJ193" s="807" t="s">
        <v>4536</v>
      </c>
    </row>
    <row r="194" spans="1:36" ht="18.75" customHeight="1" x14ac:dyDescent="0.25">
      <c r="A194" s="118" t="s">
        <v>949</v>
      </c>
      <c r="B194" s="807" t="s">
        <v>4512</v>
      </c>
      <c r="C194" s="807" t="s">
        <v>163</v>
      </c>
      <c r="D194" s="807" t="s">
        <v>4537</v>
      </c>
      <c r="E194" s="807" t="s">
        <v>2977</v>
      </c>
      <c r="F194" s="807" t="s">
        <v>3868</v>
      </c>
      <c r="G194" s="807" t="s">
        <v>3084</v>
      </c>
      <c r="H194" s="807" t="s">
        <v>4538</v>
      </c>
      <c r="I194" s="253">
        <v>907</v>
      </c>
      <c r="J194" s="124" t="s">
        <v>4516</v>
      </c>
      <c r="K194" s="124" t="s">
        <v>35</v>
      </c>
      <c r="L194" s="807" t="s">
        <v>2980</v>
      </c>
      <c r="M194" s="807" t="s">
        <v>4539</v>
      </c>
      <c r="N194" s="807" t="s">
        <v>4540</v>
      </c>
      <c r="O194" s="807" t="s">
        <v>35</v>
      </c>
      <c r="P194" s="807" t="s">
        <v>3705</v>
      </c>
      <c r="Q194" s="807" t="s">
        <v>4541</v>
      </c>
      <c r="R194" s="807" t="s">
        <v>35</v>
      </c>
      <c r="S194" s="807" t="s">
        <v>3024</v>
      </c>
      <c r="T194" s="807" t="s">
        <v>35</v>
      </c>
      <c r="U194" s="807" t="s">
        <v>35</v>
      </c>
      <c r="V194" s="807" t="s">
        <v>35</v>
      </c>
      <c r="W194" s="807" t="s">
        <v>35</v>
      </c>
      <c r="X194" s="807" t="s">
        <v>35</v>
      </c>
      <c r="Y194" s="807" t="s">
        <v>35</v>
      </c>
      <c r="Z194" s="807" t="s">
        <v>35</v>
      </c>
      <c r="AA194" s="807" t="s">
        <v>35</v>
      </c>
      <c r="AB194" s="807" t="s">
        <v>35</v>
      </c>
      <c r="AC194" s="807" t="s">
        <v>35</v>
      </c>
      <c r="AD194" s="807" t="s">
        <v>35</v>
      </c>
      <c r="AE194" s="807" t="s">
        <v>35</v>
      </c>
      <c r="AF194" s="807" t="s">
        <v>35</v>
      </c>
      <c r="AG194" s="807" t="s">
        <v>35</v>
      </c>
      <c r="AH194" s="807" t="s">
        <v>35</v>
      </c>
      <c r="AI194" s="807" t="s">
        <v>35</v>
      </c>
      <c r="AJ194" s="807" t="s">
        <v>35</v>
      </c>
    </row>
    <row r="195" spans="1:36" ht="18.75" customHeight="1" x14ac:dyDescent="0.25">
      <c r="A195" s="118" t="s">
        <v>949</v>
      </c>
      <c r="B195" s="807" t="s">
        <v>4512</v>
      </c>
      <c r="C195" s="807" t="s">
        <v>163</v>
      </c>
      <c r="D195" s="807" t="s">
        <v>4542</v>
      </c>
      <c r="E195" s="807" t="s">
        <v>2977</v>
      </c>
      <c r="F195" s="807" t="s">
        <v>312</v>
      </c>
      <c r="G195" s="807" t="s">
        <v>312</v>
      </c>
      <c r="H195" s="807" t="s">
        <v>4543</v>
      </c>
      <c r="I195" s="253">
        <v>47</v>
      </c>
      <c r="J195" s="124" t="s">
        <v>3142</v>
      </c>
      <c r="K195" s="124" t="s">
        <v>35</v>
      </c>
      <c r="L195" s="807" t="s">
        <v>2980</v>
      </c>
      <c r="M195" s="807" t="s">
        <v>4544</v>
      </c>
      <c r="N195" s="807" t="s">
        <v>4545</v>
      </c>
      <c r="O195" s="807" t="s">
        <v>35</v>
      </c>
      <c r="P195" s="807" t="s">
        <v>35</v>
      </c>
      <c r="Q195" s="807" t="s">
        <v>4546</v>
      </c>
      <c r="R195" s="807" t="s">
        <v>35</v>
      </c>
      <c r="S195" s="807" t="s">
        <v>35</v>
      </c>
      <c r="T195" s="807" t="s">
        <v>35</v>
      </c>
      <c r="U195" s="807" t="s">
        <v>35</v>
      </c>
      <c r="V195" s="807" t="s">
        <v>35</v>
      </c>
      <c r="W195" s="807" t="s">
        <v>35</v>
      </c>
      <c r="X195" s="807" t="s">
        <v>35</v>
      </c>
      <c r="Y195" s="807" t="s">
        <v>35</v>
      </c>
      <c r="Z195" s="807" t="s">
        <v>35</v>
      </c>
      <c r="AA195" s="807" t="s">
        <v>35</v>
      </c>
      <c r="AB195" s="807" t="s">
        <v>35</v>
      </c>
      <c r="AC195" s="807" t="s">
        <v>35</v>
      </c>
      <c r="AD195" s="807" t="s">
        <v>35</v>
      </c>
      <c r="AE195" s="807" t="s">
        <v>35</v>
      </c>
      <c r="AF195" s="807" t="s">
        <v>35</v>
      </c>
      <c r="AG195" s="807" t="s">
        <v>35</v>
      </c>
      <c r="AH195" s="807" t="s">
        <v>35</v>
      </c>
      <c r="AI195" s="807" t="s">
        <v>35</v>
      </c>
      <c r="AJ195" s="807" t="s">
        <v>35</v>
      </c>
    </row>
    <row r="196" spans="1:36" ht="18.75" customHeight="1" x14ac:dyDescent="0.25">
      <c r="A196" s="118" t="s">
        <v>949</v>
      </c>
      <c r="B196" s="807" t="s">
        <v>4512</v>
      </c>
      <c r="C196" s="807" t="s">
        <v>163</v>
      </c>
      <c r="D196" s="807" t="s">
        <v>4547</v>
      </c>
      <c r="E196" s="807" t="s">
        <v>3316</v>
      </c>
      <c r="F196" s="807" t="s">
        <v>312</v>
      </c>
      <c r="G196" s="807" t="s">
        <v>312</v>
      </c>
      <c r="H196" s="807" t="s">
        <v>4548</v>
      </c>
      <c r="I196" s="253">
        <v>114</v>
      </c>
      <c r="J196" s="124" t="s">
        <v>3284</v>
      </c>
      <c r="K196" s="124" t="s">
        <v>35</v>
      </c>
      <c r="L196" s="807" t="s">
        <v>3318</v>
      </c>
      <c r="M196" s="807" t="s">
        <v>4549</v>
      </c>
      <c r="N196" s="807" t="s">
        <v>35</v>
      </c>
      <c r="O196" s="807" t="s">
        <v>35</v>
      </c>
      <c r="P196" s="807" t="s">
        <v>35</v>
      </c>
      <c r="Q196" s="807" t="s">
        <v>35</v>
      </c>
      <c r="R196" s="807" t="s">
        <v>35</v>
      </c>
      <c r="S196" s="807" t="s">
        <v>35</v>
      </c>
      <c r="T196" s="807" t="s">
        <v>35</v>
      </c>
      <c r="U196" s="807" t="s">
        <v>35</v>
      </c>
      <c r="V196" s="807" t="s">
        <v>35</v>
      </c>
      <c r="W196" s="807" t="s">
        <v>35</v>
      </c>
      <c r="X196" s="807" t="s">
        <v>35</v>
      </c>
      <c r="Y196" s="807" t="s">
        <v>35</v>
      </c>
      <c r="Z196" s="807" t="s">
        <v>35</v>
      </c>
      <c r="AA196" s="807" t="s">
        <v>35</v>
      </c>
      <c r="AB196" s="807" t="s">
        <v>35</v>
      </c>
      <c r="AC196" s="807" t="s">
        <v>35</v>
      </c>
      <c r="AD196" s="807" t="s">
        <v>35</v>
      </c>
      <c r="AE196" s="807" t="s">
        <v>35</v>
      </c>
      <c r="AF196" s="807" t="s">
        <v>35</v>
      </c>
      <c r="AG196" s="807" t="s">
        <v>35</v>
      </c>
      <c r="AH196" s="807" t="s">
        <v>35</v>
      </c>
      <c r="AI196" s="807" t="s">
        <v>35</v>
      </c>
      <c r="AJ196" s="807" t="s">
        <v>35</v>
      </c>
    </row>
    <row r="197" spans="1:36" ht="18.75" customHeight="1" x14ac:dyDescent="0.25">
      <c r="A197" s="118" t="s">
        <v>949</v>
      </c>
      <c r="B197" s="807" t="s">
        <v>4512</v>
      </c>
      <c r="C197" s="807" t="s">
        <v>163</v>
      </c>
      <c r="D197" s="807" t="s">
        <v>4550</v>
      </c>
      <c r="E197" s="807" t="s">
        <v>2977</v>
      </c>
      <c r="F197" s="807" t="s">
        <v>312</v>
      </c>
      <c r="G197" s="807" t="s">
        <v>312</v>
      </c>
      <c r="H197" s="807" t="s">
        <v>4551</v>
      </c>
      <c r="I197" s="253">
        <v>57</v>
      </c>
      <c r="J197" s="124" t="s">
        <v>3142</v>
      </c>
      <c r="K197" s="124" t="s">
        <v>35</v>
      </c>
      <c r="L197" s="807" t="s">
        <v>2980</v>
      </c>
      <c r="M197" s="807" t="s">
        <v>4544</v>
      </c>
      <c r="N197" s="807" t="s">
        <v>4545</v>
      </c>
      <c r="O197" s="807" t="s">
        <v>35</v>
      </c>
      <c r="P197" s="807" t="s">
        <v>35</v>
      </c>
      <c r="Q197" s="807" t="s">
        <v>3359</v>
      </c>
      <c r="R197" s="807" t="s">
        <v>35</v>
      </c>
      <c r="S197" s="807" t="s">
        <v>35</v>
      </c>
      <c r="T197" s="807" t="s">
        <v>35</v>
      </c>
      <c r="U197" s="807" t="s">
        <v>35</v>
      </c>
      <c r="V197" s="807" t="s">
        <v>35</v>
      </c>
      <c r="W197" s="807" t="s">
        <v>35</v>
      </c>
      <c r="X197" s="807" t="s">
        <v>35</v>
      </c>
      <c r="Y197" s="807" t="s">
        <v>35</v>
      </c>
      <c r="Z197" s="807" t="s">
        <v>35</v>
      </c>
      <c r="AA197" s="807" t="s">
        <v>35</v>
      </c>
      <c r="AB197" s="807" t="s">
        <v>35</v>
      </c>
      <c r="AC197" s="807" t="s">
        <v>35</v>
      </c>
      <c r="AD197" s="807" t="s">
        <v>35</v>
      </c>
      <c r="AE197" s="807" t="s">
        <v>35</v>
      </c>
      <c r="AF197" s="807" t="s">
        <v>35</v>
      </c>
      <c r="AG197" s="807" t="s">
        <v>35</v>
      </c>
      <c r="AH197" s="807" t="s">
        <v>35</v>
      </c>
      <c r="AI197" s="807" t="s">
        <v>35</v>
      </c>
      <c r="AJ197" s="807" t="s">
        <v>35</v>
      </c>
    </row>
    <row r="198" spans="1:36" ht="18.75" customHeight="1" x14ac:dyDescent="0.25">
      <c r="A198" s="118" t="s">
        <v>949</v>
      </c>
      <c r="B198" s="807" t="s">
        <v>4512</v>
      </c>
      <c r="C198" s="807" t="s">
        <v>163</v>
      </c>
      <c r="D198" s="807" t="s">
        <v>4552</v>
      </c>
      <c r="E198" s="807" t="s">
        <v>2977</v>
      </c>
      <c r="F198" s="807" t="s">
        <v>312</v>
      </c>
      <c r="G198" s="807" t="s">
        <v>312</v>
      </c>
      <c r="H198" s="807" t="s">
        <v>4553</v>
      </c>
      <c r="I198" s="253">
        <v>156</v>
      </c>
      <c r="J198" s="124" t="s">
        <v>35</v>
      </c>
      <c r="K198" s="124" t="s">
        <v>3142</v>
      </c>
      <c r="L198" s="807" t="s">
        <v>3172</v>
      </c>
      <c r="M198" s="807" t="s">
        <v>4554</v>
      </c>
      <c r="N198" s="807" t="s">
        <v>35</v>
      </c>
      <c r="O198" s="807" t="s">
        <v>35</v>
      </c>
      <c r="P198" s="807" t="s">
        <v>35</v>
      </c>
      <c r="Q198" s="807" t="s">
        <v>35</v>
      </c>
      <c r="R198" s="807" t="s">
        <v>35</v>
      </c>
      <c r="S198" s="807" t="s">
        <v>35</v>
      </c>
      <c r="T198" s="807" t="s">
        <v>35</v>
      </c>
      <c r="U198" s="807" t="s">
        <v>35</v>
      </c>
      <c r="V198" s="807" t="s">
        <v>35</v>
      </c>
      <c r="W198" s="807" t="s">
        <v>35</v>
      </c>
      <c r="X198" s="807" t="s">
        <v>35</v>
      </c>
      <c r="Y198" s="807" t="s">
        <v>35</v>
      </c>
      <c r="Z198" s="807" t="s">
        <v>35</v>
      </c>
      <c r="AA198" s="807" t="s">
        <v>35</v>
      </c>
      <c r="AB198" s="807" t="s">
        <v>35</v>
      </c>
      <c r="AC198" s="807" t="s">
        <v>35</v>
      </c>
      <c r="AD198" s="807" t="s">
        <v>35</v>
      </c>
      <c r="AE198" s="807" t="s">
        <v>35</v>
      </c>
      <c r="AF198" s="807" t="s">
        <v>35</v>
      </c>
      <c r="AG198" s="807" t="s">
        <v>35</v>
      </c>
      <c r="AH198" s="807" t="s">
        <v>35</v>
      </c>
      <c r="AI198" s="807" t="s">
        <v>35</v>
      </c>
      <c r="AJ198" s="807" t="s">
        <v>35</v>
      </c>
    </row>
    <row r="199" spans="1:36" ht="18.75" customHeight="1" x14ac:dyDescent="0.25">
      <c r="A199" s="118" t="s">
        <v>949</v>
      </c>
      <c r="B199" s="807" t="s">
        <v>4512</v>
      </c>
      <c r="C199" s="807" t="s">
        <v>163</v>
      </c>
      <c r="D199" s="807" t="s">
        <v>4555</v>
      </c>
      <c r="E199" s="807" t="s">
        <v>3316</v>
      </c>
      <c r="F199" s="807" t="s">
        <v>312</v>
      </c>
      <c r="G199" s="807" t="s">
        <v>312</v>
      </c>
      <c r="H199" s="807" t="s">
        <v>4556</v>
      </c>
      <c r="I199" s="253">
        <v>46</v>
      </c>
      <c r="J199" s="124" t="s">
        <v>4557</v>
      </c>
      <c r="K199" s="124" t="s">
        <v>35</v>
      </c>
      <c r="L199" s="807" t="s">
        <v>3318</v>
      </c>
      <c r="M199" s="807" t="s">
        <v>4558</v>
      </c>
      <c r="N199" s="807" t="s">
        <v>35</v>
      </c>
      <c r="O199" s="807" t="s">
        <v>35</v>
      </c>
      <c r="P199" s="807" t="s">
        <v>35</v>
      </c>
      <c r="Q199" s="807" t="s">
        <v>35</v>
      </c>
      <c r="R199" s="807" t="s">
        <v>35</v>
      </c>
      <c r="S199" s="807" t="s">
        <v>35</v>
      </c>
      <c r="T199" s="807" t="s">
        <v>35</v>
      </c>
      <c r="U199" s="807" t="s">
        <v>35</v>
      </c>
      <c r="V199" s="807" t="s">
        <v>35</v>
      </c>
      <c r="W199" s="807" t="s">
        <v>35</v>
      </c>
      <c r="X199" s="807" t="s">
        <v>35</v>
      </c>
      <c r="Y199" s="807" t="s">
        <v>35</v>
      </c>
      <c r="Z199" s="807" t="s">
        <v>35</v>
      </c>
      <c r="AA199" s="807" t="s">
        <v>35</v>
      </c>
      <c r="AB199" s="807" t="s">
        <v>35</v>
      </c>
      <c r="AC199" s="807" t="s">
        <v>35</v>
      </c>
      <c r="AD199" s="807" t="s">
        <v>35</v>
      </c>
      <c r="AE199" s="807" t="s">
        <v>35</v>
      </c>
      <c r="AF199" s="807" t="s">
        <v>35</v>
      </c>
      <c r="AG199" s="807" t="s">
        <v>35</v>
      </c>
      <c r="AH199" s="807" t="s">
        <v>35</v>
      </c>
      <c r="AI199" s="807" t="s">
        <v>35</v>
      </c>
      <c r="AJ199" s="807" t="s">
        <v>35</v>
      </c>
    </row>
    <row r="200" spans="1:36" ht="18.75" customHeight="1" x14ac:dyDescent="0.25">
      <c r="A200" s="118" t="s">
        <v>949</v>
      </c>
      <c r="B200" s="807" t="s">
        <v>4512</v>
      </c>
      <c r="C200" s="807" t="s">
        <v>163</v>
      </c>
      <c r="D200" s="807" t="s">
        <v>4559</v>
      </c>
      <c r="E200" s="807" t="s">
        <v>3316</v>
      </c>
      <c r="F200" s="807" t="s">
        <v>312</v>
      </c>
      <c r="G200" s="807" t="s">
        <v>312</v>
      </c>
      <c r="H200" s="807" t="s">
        <v>4560</v>
      </c>
      <c r="I200" s="253">
        <v>219</v>
      </c>
      <c r="J200" s="124" t="s">
        <v>3986</v>
      </c>
      <c r="K200" s="124" t="s">
        <v>35</v>
      </c>
      <c r="L200" s="807" t="s">
        <v>3459</v>
      </c>
      <c r="M200" s="807" t="s">
        <v>4561</v>
      </c>
      <c r="N200" s="807" t="s">
        <v>4562</v>
      </c>
      <c r="O200" s="807" t="s">
        <v>35</v>
      </c>
      <c r="P200" s="807" t="s">
        <v>2983</v>
      </c>
      <c r="Q200" s="807" t="s">
        <v>3359</v>
      </c>
      <c r="R200" s="807" t="s">
        <v>35</v>
      </c>
      <c r="S200" s="807" t="s">
        <v>35</v>
      </c>
      <c r="T200" s="807" t="s">
        <v>35</v>
      </c>
      <c r="U200" s="807" t="s">
        <v>35</v>
      </c>
      <c r="V200" s="807" t="s">
        <v>35</v>
      </c>
      <c r="W200" s="807" t="s">
        <v>35</v>
      </c>
      <c r="X200" s="807" t="s">
        <v>35</v>
      </c>
      <c r="Y200" s="807" t="s">
        <v>35</v>
      </c>
      <c r="Z200" s="807" t="s">
        <v>35</v>
      </c>
      <c r="AA200" s="807" t="s">
        <v>35</v>
      </c>
      <c r="AB200" s="807" t="s">
        <v>35</v>
      </c>
      <c r="AC200" s="807" t="s">
        <v>35</v>
      </c>
      <c r="AD200" s="807" t="s">
        <v>35</v>
      </c>
      <c r="AE200" s="807" t="s">
        <v>35</v>
      </c>
      <c r="AF200" s="807" t="s">
        <v>35</v>
      </c>
      <c r="AG200" s="807" t="s">
        <v>35</v>
      </c>
      <c r="AH200" s="807" t="s">
        <v>35</v>
      </c>
      <c r="AI200" s="807" t="s">
        <v>35</v>
      </c>
      <c r="AJ200" s="807" t="s">
        <v>35</v>
      </c>
    </row>
    <row r="201" spans="1:36" ht="18.75" customHeight="1" x14ac:dyDescent="0.25">
      <c r="A201" s="118" t="s">
        <v>949</v>
      </c>
      <c r="B201" s="807" t="s">
        <v>4512</v>
      </c>
      <c r="C201" s="807" t="s">
        <v>163</v>
      </c>
      <c r="D201" s="807" t="s">
        <v>4563</v>
      </c>
      <c r="E201" s="807" t="s">
        <v>2977</v>
      </c>
      <c r="F201" s="807" t="s">
        <v>312</v>
      </c>
      <c r="G201" s="807" t="s">
        <v>312</v>
      </c>
      <c r="H201" s="807" t="s">
        <v>4564</v>
      </c>
      <c r="I201" s="253">
        <v>161</v>
      </c>
      <c r="J201" s="124" t="s">
        <v>3171</v>
      </c>
      <c r="K201" s="124" t="s">
        <v>35</v>
      </c>
      <c r="L201" s="807" t="s">
        <v>2980</v>
      </c>
      <c r="M201" s="807" t="s">
        <v>4565</v>
      </c>
      <c r="N201" s="807" t="s">
        <v>4566</v>
      </c>
      <c r="O201" s="807" t="s">
        <v>35</v>
      </c>
      <c r="P201" s="807" t="s">
        <v>3705</v>
      </c>
      <c r="Q201" s="807" t="s">
        <v>4567</v>
      </c>
      <c r="R201" s="807" t="s">
        <v>35</v>
      </c>
      <c r="S201" s="807" t="s">
        <v>3024</v>
      </c>
      <c r="T201" s="807" t="s">
        <v>35</v>
      </c>
      <c r="U201" s="807" t="s">
        <v>35</v>
      </c>
      <c r="V201" s="807" t="s">
        <v>35</v>
      </c>
      <c r="W201" s="807" t="s">
        <v>35</v>
      </c>
      <c r="X201" s="807" t="s">
        <v>35</v>
      </c>
      <c r="Y201" s="807" t="s">
        <v>35</v>
      </c>
      <c r="Z201" s="807" t="s">
        <v>35</v>
      </c>
      <c r="AA201" s="807" t="s">
        <v>35</v>
      </c>
      <c r="AB201" s="807" t="s">
        <v>35</v>
      </c>
      <c r="AC201" s="807" t="s">
        <v>35</v>
      </c>
      <c r="AD201" s="807" t="s">
        <v>35</v>
      </c>
      <c r="AE201" s="807" t="s">
        <v>35</v>
      </c>
      <c r="AF201" s="807" t="s">
        <v>35</v>
      </c>
      <c r="AG201" s="807" t="s">
        <v>35</v>
      </c>
      <c r="AH201" s="807" t="s">
        <v>35</v>
      </c>
      <c r="AI201" s="807" t="s">
        <v>35</v>
      </c>
      <c r="AJ201" s="807" t="s">
        <v>35</v>
      </c>
    </row>
    <row r="202" spans="1:36" ht="18.75" customHeight="1" x14ac:dyDescent="0.25">
      <c r="A202" s="118" t="s">
        <v>949</v>
      </c>
      <c r="B202" s="807" t="s">
        <v>4512</v>
      </c>
      <c r="C202" s="807" t="s">
        <v>163</v>
      </c>
      <c r="D202" s="807" t="s">
        <v>4568</v>
      </c>
      <c r="E202" s="807" t="s">
        <v>2977</v>
      </c>
      <c r="F202" s="807" t="s">
        <v>312</v>
      </c>
      <c r="G202" s="807" t="s">
        <v>312</v>
      </c>
      <c r="H202" s="807" t="s">
        <v>4569</v>
      </c>
      <c r="I202" s="253">
        <v>205</v>
      </c>
      <c r="J202" s="124" t="s">
        <v>4570</v>
      </c>
      <c r="K202" s="124" t="s">
        <v>35</v>
      </c>
      <c r="L202" s="807" t="s">
        <v>2980</v>
      </c>
      <c r="M202" s="807" t="s">
        <v>4571</v>
      </c>
      <c r="N202" s="807" t="s">
        <v>4572</v>
      </c>
      <c r="O202" s="807" t="s">
        <v>35</v>
      </c>
      <c r="P202" s="807" t="s">
        <v>3705</v>
      </c>
      <c r="Q202" s="807" t="s">
        <v>4573</v>
      </c>
      <c r="R202" s="807" t="s">
        <v>35</v>
      </c>
      <c r="S202" s="807" t="s">
        <v>35</v>
      </c>
      <c r="T202" s="807" t="s">
        <v>35</v>
      </c>
      <c r="U202" s="807" t="s">
        <v>35</v>
      </c>
      <c r="V202" s="807" t="s">
        <v>35</v>
      </c>
      <c r="W202" s="807" t="s">
        <v>35</v>
      </c>
      <c r="X202" s="807" t="s">
        <v>35</v>
      </c>
      <c r="Y202" s="807" t="s">
        <v>35</v>
      </c>
      <c r="Z202" s="807" t="s">
        <v>35</v>
      </c>
      <c r="AA202" s="807" t="s">
        <v>35</v>
      </c>
      <c r="AB202" s="807" t="s">
        <v>35</v>
      </c>
      <c r="AC202" s="807" t="s">
        <v>35</v>
      </c>
      <c r="AD202" s="807" t="s">
        <v>35</v>
      </c>
      <c r="AE202" s="807" t="s">
        <v>35</v>
      </c>
      <c r="AF202" s="807" t="s">
        <v>35</v>
      </c>
      <c r="AG202" s="807" t="s">
        <v>35</v>
      </c>
      <c r="AH202" s="807" t="s">
        <v>35</v>
      </c>
      <c r="AI202" s="807" t="s">
        <v>35</v>
      </c>
      <c r="AJ202" s="807" t="s">
        <v>35</v>
      </c>
    </row>
    <row r="203" spans="1:36" ht="18.75" customHeight="1" x14ac:dyDescent="0.25">
      <c r="A203" s="118" t="s">
        <v>949</v>
      </c>
      <c r="B203" s="807" t="s">
        <v>4512</v>
      </c>
      <c r="C203" s="807" t="s">
        <v>163</v>
      </c>
      <c r="D203" s="807" t="s">
        <v>4574</v>
      </c>
      <c r="E203" s="807" t="s">
        <v>2977</v>
      </c>
      <c r="F203" s="807" t="s">
        <v>312</v>
      </c>
      <c r="G203" s="807" t="s">
        <v>312</v>
      </c>
      <c r="H203" s="807" t="s">
        <v>4575</v>
      </c>
      <c r="I203" s="253">
        <v>840</v>
      </c>
      <c r="J203" s="124" t="s">
        <v>4576</v>
      </c>
      <c r="K203" s="124" t="s">
        <v>35</v>
      </c>
      <c r="L203" s="807" t="s">
        <v>2980</v>
      </c>
      <c r="M203" s="807" t="s">
        <v>4577</v>
      </c>
      <c r="N203" s="807" t="s">
        <v>4578</v>
      </c>
      <c r="O203" s="807" t="s">
        <v>35</v>
      </c>
      <c r="P203" s="807" t="s">
        <v>3705</v>
      </c>
      <c r="Q203" s="807" t="s">
        <v>4579</v>
      </c>
      <c r="R203" s="807" t="s">
        <v>35</v>
      </c>
      <c r="S203" s="807" t="s">
        <v>3024</v>
      </c>
      <c r="T203" s="807" t="s">
        <v>35</v>
      </c>
      <c r="U203" s="807" t="s">
        <v>35</v>
      </c>
      <c r="V203" s="807" t="s">
        <v>35</v>
      </c>
      <c r="W203" s="807" t="s">
        <v>35</v>
      </c>
      <c r="X203" s="807" t="s">
        <v>35</v>
      </c>
      <c r="Y203" s="807" t="s">
        <v>35</v>
      </c>
      <c r="Z203" s="807" t="s">
        <v>35</v>
      </c>
      <c r="AA203" s="807" t="s">
        <v>35</v>
      </c>
      <c r="AB203" s="807" t="s">
        <v>35</v>
      </c>
      <c r="AC203" s="807" t="s">
        <v>35</v>
      </c>
      <c r="AD203" s="807" t="s">
        <v>35</v>
      </c>
      <c r="AE203" s="807" t="s">
        <v>35</v>
      </c>
      <c r="AF203" s="807" t="s">
        <v>35</v>
      </c>
      <c r="AG203" s="807" t="s">
        <v>35</v>
      </c>
      <c r="AH203" s="807" t="s">
        <v>35</v>
      </c>
      <c r="AI203" s="807" t="s">
        <v>35</v>
      </c>
      <c r="AJ203" s="807" t="s">
        <v>35</v>
      </c>
    </row>
    <row r="204" spans="1:36" ht="18.75" customHeight="1" x14ac:dyDescent="0.25">
      <c r="A204" s="118" t="s">
        <v>949</v>
      </c>
      <c r="B204" s="807" t="s">
        <v>4512</v>
      </c>
      <c r="C204" s="807" t="s">
        <v>163</v>
      </c>
      <c r="D204" s="807" t="s">
        <v>4580</v>
      </c>
      <c r="E204" s="807" t="s">
        <v>3316</v>
      </c>
      <c r="F204" s="807" t="s">
        <v>312</v>
      </c>
      <c r="G204" s="807" t="s">
        <v>312</v>
      </c>
      <c r="H204" s="807" t="s">
        <v>4581</v>
      </c>
      <c r="I204" s="253">
        <v>367</v>
      </c>
      <c r="J204" s="124" t="s">
        <v>4582</v>
      </c>
      <c r="K204" s="124" t="s">
        <v>35</v>
      </c>
      <c r="L204" s="807" t="s">
        <v>3459</v>
      </c>
      <c r="M204" s="807" t="s">
        <v>4565</v>
      </c>
      <c r="N204" s="807" t="s">
        <v>4566</v>
      </c>
      <c r="O204" s="807" t="s">
        <v>35</v>
      </c>
      <c r="P204" s="807" t="s">
        <v>3705</v>
      </c>
      <c r="Q204" s="807" t="s">
        <v>4567</v>
      </c>
      <c r="R204" s="807" t="s">
        <v>35</v>
      </c>
      <c r="S204" s="807" t="s">
        <v>3024</v>
      </c>
      <c r="T204" s="807" t="s">
        <v>35</v>
      </c>
      <c r="U204" s="807" t="s">
        <v>35</v>
      </c>
      <c r="V204" s="807" t="s">
        <v>35</v>
      </c>
      <c r="W204" s="807" t="s">
        <v>35</v>
      </c>
      <c r="X204" s="807" t="s">
        <v>35</v>
      </c>
      <c r="Y204" s="807" t="s">
        <v>35</v>
      </c>
      <c r="Z204" s="807" t="s">
        <v>35</v>
      </c>
      <c r="AA204" s="807" t="s">
        <v>35</v>
      </c>
      <c r="AB204" s="807" t="s">
        <v>35</v>
      </c>
      <c r="AC204" s="807" t="s">
        <v>35</v>
      </c>
      <c r="AD204" s="807" t="s">
        <v>35</v>
      </c>
      <c r="AE204" s="807" t="s">
        <v>35</v>
      </c>
      <c r="AF204" s="807" t="s">
        <v>35</v>
      </c>
      <c r="AG204" s="807" t="s">
        <v>35</v>
      </c>
      <c r="AH204" s="807" t="s">
        <v>35</v>
      </c>
      <c r="AI204" s="807" t="s">
        <v>35</v>
      </c>
      <c r="AJ204" s="807" t="s">
        <v>35</v>
      </c>
    </row>
    <row r="205" spans="1:36" ht="18.75" customHeight="1" x14ac:dyDescent="0.25">
      <c r="A205" s="118" t="s">
        <v>949</v>
      </c>
      <c r="B205" s="807" t="s">
        <v>4512</v>
      </c>
      <c r="C205" s="807" t="s">
        <v>163</v>
      </c>
      <c r="D205" s="807" t="s">
        <v>4583</v>
      </c>
      <c r="E205" s="807" t="s">
        <v>2977</v>
      </c>
      <c r="F205" s="807" t="s">
        <v>312</v>
      </c>
      <c r="G205" s="807" t="s">
        <v>312</v>
      </c>
      <c r="H205" s="807" t="s">
        <v>4584</v>
      </c>
      <c r="I205" s="253">
        <v>201</v>
      </c>
      <c r="J205" s="124" t="s">
        <v>4585</v>
      </c>
      <c r="K205" s="124" t="s">
        <v>35</v>
      </c>
      <c r="L205" s="807" t="s">
        <v>2980</v>
      </c>
      <c r="M205" s="807" t="s">
        <v>4561</v>
      </c>
      <c r="N205" s="807" t="s">
        <v>4562</v>
      </c>
      <c r="O205" s="807" t="s">
        <v>35</v>
      </c>
      <c r="P205" s="807" t="s">
        <v>2983</v>
      </c>
      <c r="Q205" s="807" t="s">
        <v>3359</v>
      </c>
      <c r="R205" s="807" t="s">
        <v>35</v>
      </c>
      <c r="S205" s="807" t="s">
        <v>35</v>
      </c>
      <c r="T205" s="807" t="s">
        <v>35</v>
      </c>
      <c r="U205" s="807" t="s">
        <v>35</v>
      </c>
      <c r="V205" s="807" t="s">
        <v>35</v>
      </c>
      <c r="W205" s="807" t="s">
        <v>35</v>
      </c>
      <c r="X205" s="807" t="s">
        <v>35</v>
      </c>
      <c r="Y205" s="807" t="s">
        <v>35</v>
      </c>
      <c r="Z205" s="807" t="s">
        <v>35</v>
      </c>
      <c r="AA205" s="807" t="s">
        <v>35</v>
      </c>
      <c r="AB205" s="807" t="s">
        <v>35</v>
      </c>
      <c r="AC205" s="807" t="s">
        <v>35</v>
      </c>
      <c r="AD205" s="807" t="s">
        <v>35</v>
      </c>
      <c r="AE205" s="807" t="s">
        <v>35</v>
      </c>
      <c r="AF205" s="807" t="s">
        <v>35</v>
      </c>
      <c r="AG205" s="807" t="s">
        <v>35</v>
      </c>
      <c r="AH205" s="807" t="s">
        <v>35</v>
      </c>
      <c r="AI205" s="807" t="s">
        <v>35</v>
      </c>
      <c r="AJ205" s="807" t="s">
        <v>35</v>
      </c>
    </row>
    <row r="206" spans="1:36" ht="18.75" customHeight="1" x14ac:dyDescent="0.25">
      <c r="A206" s="118" t="s">
        <v>949</v>
      </c>
      <c r="B206" s="807" t="s">
        <v>4512</v>
      </c>
      <c r="C206" s="807" t="s">
        <v>163</v>
      </c>
      <c r="D206" s="807" t="s">
        <v>4586</v>
      </c>
      <c r="E206" s="807" t="s">
        <v>2977</v>
      </c>
      <c r="F206" s="807" t="s">
        <v>312</v>
      </c>
      <c r="G206" s="807" t="s">
        <v>312</v>
      </c>
      <c r="H206" s="807" t="s">
        <v>4587</v>
      </c>
      <c r="I206" s="253">
        <v>206</v>
      </c>
      <c r="J206" s="124" t="s">
        <v>3259</v>
      </c>
      <c r="K206" s="124" t="s">
        <v>35</v>
      </c>
      <c r="L206" s="807" t="s">
        <v>2980</v>
      </c>
      <c r="M206" s="807" t="s">
        <v>4588</v>
      </c>
      <c r="N206" s="807" t="s">
        <v>4589</v>
      </c>
      <c r="O206" s="807" t="s">
        <v>35</v>
      </c>
      <c r="P206" s="807" t="s">
        <v>3705</v>
      </c>
      <c r="Q206" s="807" t="s">
        <v>4590</v>
      </c>
      <c r="R206" s="807" t="s">
        <v>35</v>
      </c>
      <c r="S206" s="807" t="s">
        <v>35</v>
      </c>
      <c r="T206" s="807" t="s">
        <v>35</v>
      </c>
      <c r="U206" s="807" t="s">
        <v>35</v>
      </c>
      <c r="V206" s="807" t="s">
        <v>35</v>
      </c>
      <c r="W206" s="807" t="s">
        <v>35</v>
      </c>
      <c r="X206" s="807" t="s">
        <v>35</v>
      </c>
      <c r="Y206" s="807" t="s">
        <v>35</v>
      </c>
      <c r="Z206" s="807" t="s">
        <v>35</v>
      </c>
      <c r="AA206" s="807" t="s">
        <v>35</v>
      </c>
      <c r="AB206" s="807" t="s">
        <v>35</v>
      </c>
      <c r="AC206" s="807" t="s">
        <v>35</v>
      </c>
      <c r="AD206" s="807" t="s">
        <v>35</v>
      </c>
      <c r="AE206" s="807" t="s">
        <v>35</v>
      </c>
      <c r="AF206" s="807" t="s">
        <v>35</v>
      </c>
      <c r="AG206" s="807" t="s">
        <v>35</v>
      </c>
      <c r="AH206" s="807" t="s">
        <v>35</v>
      </c>
      <c r="AI206" s="807" t="s">
        <v>35</v>
      </c>
      <c r="AJ206" s="807" t="s">
        <v>35</v>
      </c>
    </row>
    <row r="207" spans="1:36" ht="18.75" customHeight="1" x14ac:dyDescent="0.25">
      <c r="A207" s="118" t="s">
        <v>949</v>
      </c>
      <c r="B207" s="807" t="s">
        <v>4512</v>
      </c>
      <c r="C207" s="807" t="s">
        <v>163</v>
      </c>
      <c r="D207" s="807" t="s">
        <v>4591</v>
      </c>
      <c r="E207" s="807" t="s">
        <v>3316</v>
      </c>
      <c r="F207" s="807" t="s">
        <v>312</v>
      </c>
      <c r="G207" s="807" t="s">
        <v>312</v>
      </c>
      <c r="H207" s="807" t="s">
        <v>4592</v>
      </c>
      <c r="I207" s="253">
        <v>108</v>
      </c>
      <c r="J207" s="124" t="s">
        <v>4314</v>
      </c>
      <c r="K207" s="124" t="s">
        <v>35</v>
      </c>
      <c r="L207" s="807" t="s">
        <v>3459</v>
      </c>
      <c r="M207" s="807" t="s">
        <v>4544</v>
      </c>
      <c r="N207" s="807" t="s">
        <v>4545</v>
      </c>
      <c r="O207" s="807" t="s">
        <v>35</v>
      </c>
      <c r="P207" s="807" t="s">
        <v>35</v>
      </c>
      <c r="Q207" s="807" t="s">
        <v>3359</v>
      </c>
      <c r="R207" s="807" t="s">
        <v>35</v>
      </c>
      <c r="S207" s="807" t="s">
        <v>35</v>
      </c>
      <c r="T207" s="807" t="s">
        <v>35</v>
      </c>
      <c r="U207" s="807" t="s">
        <v>35</v>
      </c>
      <c r="V207" s="807" t="s">
        <v>35</v>
      </c>
      <c r="W207" s="807" t="s">
        <v>35</v>
      </c>
      <c r="X207" s="807" t="s">
        <v>35</v>
      </c>
      <c r="Y207" s="807" t="s">
        <v>35</v>
      </c>
      <c r="Z207" s="807" t="s">
        <v>35</v>
      </c>
      <c r="AA207" s="807" t="s">
        <v>35</v>
      </c>
      <c r="AB207" s="807" t="s">
        <v>35</v>
      </c>
      <c r="AC207" s="807" t="s">
        <v>35</v>
      </c>
      <c r="AD207" s="807" t="s">
        <v>35</v>
      </c>
      <c r="AE207" s="807" t="s">
        <v>35</v>
      </c>
      <c r="AF207" s="807" t="s">
        <v>35</v>
      </c>
      <c r="AG207" s="807" t="s">
        <v>35</v>
      </c>
      <c r="AH207" s="807" t="s">
        <v>35</v>
      </c>
      <c r="AI207" s="807" t="s">
        <v>35</v>
      </c>
      <c r="AJ207" s="807" t="s">
        <v>35</v>
      </c>
    </row>
    <row r="208" spans="1:36" ht="18.75" customHeight="1" x14ac:dyDescent="0.25">
      <c r="A208" s="117" t="s">
        <v>950</v>
      </c>
      <c r="B208" s="119" t="s">
        <v>167</v>
      </c>
      <c r="C208" s="119" t="s">
        <v>166</v>
      </c>
      <c r="D208" s="119" t="s">
        <v>4593</v>
      </c>
      <c r="E208" s="119" t="s">
        <v>2977</v>
      </c>
      <c r="F208" s="119" t="s">
        <v>4594</v>
      </c>
      <c r="G208" s="119" t="s">
        <v>3005</v>
      </c>
      <c r="H208" s="119" t="s">
        <v>4595</v>
      </c>
      <c r="I208" s="119">
        <v>480</v>
      </c>
      <c r="J208" s="120" t="s">
        <v>4153</v>
      </c>
      <c r="K208" s="120" t="s">
        <v>35</v>
      </c>
      <c r="L208" s="119" t="s">
        <v>2980</v>
      </c>
      <c r="M208" s="119" t="s">
        <v>4596</v>
      </c>
      <c r="N208" s="119" t="s">
        <v>4597</v>
      </c>
      <c r="O208" s="119" t="s">
        <v>35</v>
      </c>
      <c r="P208" s="119" t="s">
        <v>3366</v>
      </c>
      <c r="Q208" s="119" t="s">
        <v>3117</v>
      </c>
      <c r="R208" s="119" t="s">
        <v>7</v>
      </c>
      <c r="S208" s="119" t="s">
        <v>3024</v>
      </c>
      <c r="T208" s="119" t="s">
        <v>4598</v>
      </c>
      <c r="U208" s="119" t="s">
        <v>4599</v>
      </c>
      <c r="V208" s="119" t="s">
        <v>4600</v>
      </c>
      <c r="W208" s="119" t="s">
        <v>4601</v>
      </c>
      <c r="X208" s="119" t="s">
        <v>4602</v>
      </c>
      <c r="Y208" s="119" t="s">
        <v>4525</v>
      </c>
      <c r="Z208" s="119" t="s">
        <v>4603</v>
      </c>
      <c r="AA208" s="119" t="s">
        <v>4604</v>
      </c>
      <c r="AB208" s="119" t="s">
        <v>4605</v>
      </c>
      <c r="AC208" s="119" t="s">
        <v>4606</v>
      </c>
      <c r="AD208" s="119" t="s">
        <v>4607</v>
      </c>
      <c r="AE208" s="119" t="s">
        <v>4608</v>
      </c>
      <c r="AF208" s="119" t="s">
        <v>4609</v>
      </c>
      <c r="AG208" s="119" t="s">
        <v>4610</v>
      </c>
      <c r="AH208" s="119" t="s">
        <v>4611</v>
      </c>
      <c r="AI208" s="119" t="s">
        <v>4612</v>
      </c>
      <c r="AJ208" s="119" t="s">
        <v>4613</v>
      </c>
    </row>
    <row r="209" spans="1:36" ht="18.75" customHeight="1" x14ac:dyDescent="0.25">
      <c r="A209" s="117" t="s">
        <v>950</v>
      </c>
      <c r="B209" s="119" t="s">
        <v>167</v>
      </c>
      <c r="C209" s="119" t="s">
        <v>166</v>
      </c>
      <c r="D209" s="119" t="s">
        <v>4614</v>
      </c>
      <c r="E209" s="119" t="s">
        <v>2977</v>
      </c>
      <c r="F209" s="119" t="s">
        <v>4615</v>
      </c>
      <c r="G209" s="119" t="s">
        <v>3209</v>
      </c>
      <c r="H209" s="119" t="s">
        <v>4616</v>
      </c>
      <c r="I209" s="119">
        <v>453</v>
      </c>
      <c r="J209" s="120" t="s">
        <v>4176</v>
      </c>
      <c r="K209" s="120" t="s">
        <v>35</v>
      </c>
      <c r="L209" s="119" t="s">
        <v>2980</v>
      </c>
      <c r="M209" s="119" t="s">
        <v>4596</v>
      </c>
      <c r="N209" s="119" t="s">
        <v>4597</v>
      </c>
      <c r="O209" s="119" t="s">
        <v>35</v>
      </c>
      <c r="P209" s="119" t="s">
        <v>3366</v>
      </c>
      <c r="Q209" s="119" t="s">
        <v>3117</v>
      </c>
      <c r="R209" s="119" t="s">
        <v>7</v>
      </c>
      <c r="S209" s="119" t="s">
        <v>3024</v>
      </c>
      <c r="T209" s="119" t="s">
        <v>35</v>
      </c>
      <c r="U209" s="119" t="s">
        <v>35</v>
      </c>
      <c r="V209" s="119" t="s">
        <v>35</v>
      </c>
      <c r="W209" s="119" t="s">
        <v>35</v>
      </c>
      <c r="X209" s="119" t="s">
        <v>35</v>
      </c>
      <c r="Y209" s="119" t="s">
        <v>35</v>
      </c>
      <c r="Z209" s="119" t="s">
        <v>35</v>
      </c>
      <c r="AA209" s="119" t="s">
        <v>35</v>
      </c>
      <c r="AB209" s="119" t="s">
        <v>35</v>
      </c>
      <c r="AC209" s="119" t="s">
        <v>35</v>
      </c>
      <c r="AD209" s="119" t="s">
        <v>35</v>
      </c>
      <c r="AE209" s="119" t="s">
        <v>35</v>
      </c>
      <c r="AF209" s="119" t="s">
        <v>35</v>
      </c>
      <c r="AG209" s="119" t="s">
        <v>35</v>
      </c>
      <c r="AH209" s="119" t="s">
        <v>35</v>
      </c>
      <c r="AI209" s="119" t="s">
        <v>35</v>
      </c>
      <c r="AJ209" s="119" t="s">
        <v>35</v>
      </c>
    </row>
    <row r="210" spans="1:36" ht="18.75" customHeight="1" x14ac:dyDescent="0.25">
      <c r="A210" s="117" t="s">
        <v>950</v>
      </c>
      <c r="B210" s="119" t="s">
        <v>167</v>
      </c>
      <c r="C210" s="119" t="s">
        <v>166</v>
      </c>
      <c r="D210" s="119" t="s">
        <v>4617</v>
      </c>
      <c r="E210" s="119" t="s">
        <v>2977</v>
      </c>
      <c r="F210" s="119" t="s">
        <v>312</v>
      </c>
      <c r="G210" s="119" t="s">
        <v>312</v>
      </c>
      <c r="H210" s="119" t="s">
        <v>4618</v>
      </c>
      <c r="I210" s="119">
        <v>300</v>
      </c>
      <c r="J210" s="120" t="s">
        <v>35</v>
      </c>
      <c r="K210" s="120" t="s">
        <v>4619</v>
      </c>
      <c r="L210" s="119" t="s">
        <v>3172</v>
      </c>
      <c r="M210" s="119" t="s">
        <v>4620</v>
      </c>
      <c r="N210" s="119" t="s">
        <v>35</v>
      </c>
      <c r="O210" s="119" t="s">
        <v>35</v>
      </c>
      <c r="P210" s="119" t="s">
        <v>35</v>
      </c>
      <c r="Q210" s="119" t="s">
        <v>35</v>
      </c>
      <c r="R210" s="119" t="s">
        <v>35</v>
      </c>
      <c r="S210" s="119" t="s">
        <v>35</v>
      </c>
      <c r="T210" s="119" t="s">
        <v>35</v>
      </c>
      <c r="U210" s="119" t="s">
        <v>35</v>
      </c>
      <c r="V210" s="119" t="s">
        <v>35</v>
      </c>
      <c r="W210" s="119" t="s">
        <v>35</v>
      </c>
      <c r="X210" s="119" t="s">
        <v>35</v>
      </c>
      <c r="Y210" s="119" t="s">
        <v>35</v>
      </c>
      <c r="Z210" s="119" t="s">
        <v>35</v>
      </c>
      <c r="AA210" s="119" t="s">
        <v>35</v>
      </c>
      <c r="AB210" s="119" t="s">
        <v>35</v>
      </c>
      <c r="AC210" s="119" t="s">
        <v>35</v>
      </c>
      <c r="AD210" s="119" t="s">
        <v>35</v>
      </c>
      <c r="AE210" s="119" t="s">
        <v>35</v>
      </c>
      <c r="AF210" s="119" t="s">
        <v>35</v>
      </c>
      <c r="AG210" s="119" t="s">
        <v>35</v>
      </c>
      <c r="AH210" s="119" t="s">
        <v>35</v>
      </c>
      <c r="AI210" s="119" t="s">
        <v>35</v>
      </c>
      <c r="AJ210" s="119" t="s">
        <v>35</v>
      </c>
    </row>
    <row r="211" spans="1:36" ht="18.75" customHeight="1" x14ac:dyDescent="0.25">
      <c r="A211" s="117" t="s">
        <v>950</v>
      </c>
      <c r="B211" s="119" t="s">
        <v>167</v>
      </c>
      <c r="C211" s="119" t="s">
        <v>166</v>
      </c>
      <c r="D211" s="119" t="s">
        <v>4621</v>
      </c>
      <c r="E211" s="119" t="s">
        <v>3316</v>
      </c>
      <c r="F211" s="119">
        <v>0</v>
      </c>
      <c r="G211" s="119" t="s">
        <v>35</v>
      </c>
      <c r="H211" s="119" t="s">
        <v>4622</v>
      </c>
      <c r="I211" s="119">
        <v>77</v>
      </c>
      <c r="J211" s="120" t="s">
        <v>35</v>
      </c>
      <c r="K211" s="120" t="s">
        <v>4623</v>
      </c>
      <c r="L211" s="119" t="s">
        <v>4624</v>
      </c>
      <c r="M211" s="119" t="s">
        <v>4625</v>
      </c>
      <c r="N211" s="119" t="s">
        <v>35</v>
      </c>
      <c r="O211" s="119" t="s">
        <v>35</v>
      </c>
      <c r="P211" s="119" t="s">
        <v>35</v>
      </c>
      <c r="Q211" s="119" t="s">
        <v>35</v>
      </c>
      <c r="R211" s="119" t="s">
        <v>35</v>
      </c>
      <c r="S211" s="119" t="s">
        <v>35</v>
      </c>
      <c r="T211" s="119" t="s">
        <v>35</v>
      </c>
      <c r="U211" s="119" t="s">
        <v>35</v>
      </c>
      <c r="V211" s="119" t="s">
        <v>35</v>
      </c>
      <c r="W211" s="119" t="s">
        <v>35</v>
      </c>
      <c r="X211" s="119" t="s">
        <v>35</v>
      </c>
      <c r="Y211" s="119" t="s">
        <v>35</v>
      </c>
      <c r="Z211" s="119" t="s">
        <v>35</v>
      </c>
      <c r="AA211" s="119" t="s">
        <v>35</v>
      </c>
      <c r="AB211" s="119" t="s">
        <v>35</v>
      </c>
      <c r="AC211" s="119" t="s">
        <v>35</v>
      </c>
      <c r="AD211" s="119" t="s">
        <v>35</v>
      </c>
      <c r="AE211" s="119" t="s">
        <v>35</v>
      </c>
      <c r="AF211" s="119" t="s">
        <v>35</v>
      </c>
      <c r="AG211" s="119" t="s">
        <v>35</v>
      </c>
      <c r="AH211" s="119" t="s">
        <v>35</v>
      </c>
      <c r="AI211" s="119" t="s">
        <v>35</v>
      </c>
      <c r="AJ211" s="119" t="s">
        <v>35</v>
      </c>
    </row>
    <row r="212" spans="1:36" ht="18.75" customHeight="1" x14ac:dyDescent="0.25">
      <c r="A212" s="117" t="s">
        <v>950</v>
      </c>
      <c r="B212" s="119" t="s">
        <v>167</v>
      </c>
      <c r="C212" s="119" t="s">
        <v>166</v>
      </c>
      <c r="D212" s="119" t="s">
        <v>4626</v>
      </c>
      <c r="E212" s="119" t="s">
        <v>2977</v>
      </c>
      <c r="F212" s="119">
        <v>0</v>
      </c>
      <c r="G212" s="119" t="s">
        <v>35</v>
      </c>
      <c r="H212" s="119" t="s">
        <v>4627</v>
      </c>
      <c r="I212" s="119">
        <v>185</v>
      </c>
      <c r="J212" s="120" t="s">
        <v>3417</v>
      </c>
      <c r="K212" s="120" t="s">
        <v>35</v>
      </c>
      <c r="L212" s="119" t="s">
        <v>2980</v>
      </c>
      <c r="M212" s="119" t="s">
        <v>4596</v>
      </c>
      <c r="N212" s="119" t="s">
        <v>4597</v>
      </c>
      <c r="O212" s="119" t="s">
        <v>35</v>
      </c>
      <c r="P212" s="119" t="s">
        <v>3366</v>
      </c>
      <c r="Q212" s="119" t="s">
        <v>3117</v>
      </c>
      <c r="R212" s="119" t="s">
        <v>7</v>
      </c>
      <c r="S212" s="119" t="s">
        <v>3024</v>
      </c>
      <c r="T212" s="119" t="s">
        <v>35</v>
      </c>
      <c r="U212" s="119" t="s">
        <v>35</v>
      </c>
      <c r="V212" s="119" t="s">
        <v>35</v>
      </c>
      <c r="W212" s="119" t="s">
        <v>35</v>
      </c>
      <c r="X212" s="119" t="s">
        <v>35</v>
      </c>
      <c r="Y212" s="119" t="s">
        <v>35</v>
      </c>
      <c r="Z212" s="119" t="s">
        <v>35</v>
      </c>
      <c r="AA212" s="119" t="s">
        <v>35</v>
      </c>
      <c r="AB212" s="119" t="s">
        <v>35</v>
      </c>
      <c r="AC212" s="119" t="s">
        <v>35</v>
      </c>
      <c r="AD212" s="119" t="s">
        <v>35</v>
      </c>
      <c r="AE212" s="119" t="s">
        <v>35</v>
      </c>
      <c r="AF212" s="119" t="s">
        <v>35</v>
      </c>
      <c r="AG212" s="119" t="s">
        <v>35</v>
      </c>
      <c r="AH212" s="119" t="s">
        <v>35</v>
      </c>
      <c r="AI212" s="119" t="s">
        <v>35</v>
      </c>
      <c r="AJ212" s="119" t="s">
        <v>35</v>
      </c>
    </row>
    <row r="213" spans="1:36" ht="18.75" customHeight="1" x14ac:dyDescent="0.25">
      <c r="A213" s="117" t="s">
        <v>950</v>
      </c>
      <c r="B213" s="119" t="s">
        <v>167</v>
      </c>
      <c r="C213" s="119" t="s">
        <v>166</v>
      </c>
      <c r="D213" s="119" t="s">
        <v>4628</v>
      </c>
      <c r="E213" s="119" t="s">
        <v>3316</v>
      </c>
      <c r="F213" s="119" t="s">
        <v>312</v>
      </c>
      <c r="G213" s="119" t="s">
        <v>312</v>
      </c>
      <c r="H213" s="119" t="s">
        <v>4628</v>
      </c>
      <c r="I213" s="119">
        <v>122</v>
      </c>
      <c r="J213" s="120" t="s">
        <v>4629</v>
      </c>
      <c r="K213" s="120" t="s">
        <v>35</v>
      </c>
      <c r="L213" s="119" t="s">
        <v>4005</v>
      </c>
      <c r="M213" s="119" t="s">
        <v>4630</v>
      </c>
      <c r="N213" s="119" t="s">
        <v>96</v>
      </c>
      <c r="O213" s="119" t="s">
        <v>35</v>
      </c>
      <c r="P213" s="119" t="s">
        <v>35</v>
      </c>
      <c r="Q213" s="119" t="s">
        <v>35</v>
      </c>
      <c r="R213" s="119" t="s">
        <v>35</v>
      </c>
      <c r="S213" s="119" t="s">
        <v>35</v>
      </c>
      <c r="T213" s="119" t="s">
        <v>35</v>
      </c>
      <c r="U213" s="119" t="s">
        <v>35</v>
      </c>
      <c r="V213" s="119" t="s">
        <v>35</v>
      </c>
      <c r="W213" s="119" t="s">
        <v>35</v>
      </c>
      <c r="X213" s="119" t="s">
        <v>35</v>
      </c>
      <c r="Y213" s="119" t="s">
        <v>35</v>
      </c>
      <c r="Z213" s="119" t="s">
        <v>35</v>
      </c>
      <c r="AA213" s="119" t="s">
        <v>35</v>
      </c>
      <c r="AB213" s="119" t="s">
        <v>35</v>
      </c>
      <c r="AC213" s="119" t="s">
        <v>35</v>
      </c>
      <c r="AD213" s="119" t="s">
        <v>35</v>
      </c>
      <c r="AE213" s="119" t="s">
        <v>35</v>
      </c>
      <c r="AF213" s="119" t="s">
        <v>35</v>
      </c>
      <c r="AG213" s="119" t="s">
        <v>35</v>
      </c>
      <c r="AH213" s="119" t="s">
        <v>35</v>
      </c>
      <c r="AI213" s="119" t="s">
        <v>35</v>
      </c>
      <c r="AJ213" s="119" t="s">
        <v>35</v>
      </c>
    </row>
    <row r="214" spans="1:36" ht="18.75" customHeight="1" x14ac:dyDescent="0.25">
      <c r="A214" s="117" t="s">
        <v>950</v>
      </c>
      <c r="B214" s="119" t="s">
        <v>167</v>
      </c>
      <c r="C214" s="119" t="s">
        <v>166</v>
      </c>
      <c r="D214" s="119" t="s">
        <v>4631</v>
      </c>
      <c r="E214" s="119" t="s">
        <v>3316</v>
      </c>
      <c r="F214" s="119" t="s">
        <v>312</v>
      </c>
      <c r="G214" s="119" t="s">
        <v>312</v>
      </c>
      <c r="H214" s="119" t="s">
        <v>4632</v>
      </c>
      <c r="I214" s="119">
        <v>98</v>
      </c>
      <c r="J214" s="120" t="s">
        <v>35</v>
      </c>
      <c r="K214" s="120" t="s">
        <v>4619</v>
      </c>
      <c r="L214" s="119" t="s">
        <v>4624</v>
      </c>
      <c r="M214" s="119" t="s">
        <v>4633</v>
      </c>
      <c r="N214" s="119" t="s">
        <v>35</v>
      </c>
      <c r="O214" s="119" t="s">
        <v>35</v>
      </c>
      <c r="P214" s="119" t="s">
        <v>35</v>
      </c>
      <c r="Q214" s="119" t="s">
        <v>35</v>
      </c>
      <c r="R214" s="119" t="s">
        <v>35</v>
      </c>
      <c r="S214" s="119" t="s">
        <v>35</v>
      </c>
      <c r="T214" s="119" t="s">
        <v>35</v>
      </c>
      <c r="U214" s="119" t="s">
        <v>35</v>
      </c>
      <c r="V214" s="119" t="s">
        <v>35</v>
      </c>
      <c r="W214" s="119" t="s">
        <v>35</v>
      </c>
      <c r="X214" s="119" t="s">
        <v>35</v>
      </c>
      <c r="Y214" s="119" t="s">
        <v>35</v>
      </c>
      <c r="Z214" s="119" t="s">
        <v>35</v>
      </c>
      <c r="AA214" s="119" t="s">
        <v>35</v>
      </c>
      <c r="AB214" s="119" t="s">
        <v>35</v>
      </c>
      <c r="AC214" s="119" t="s">
        <v>35</v>
      </c>
      <c r="AD214" s="119" t="s">
        <v>35</v>
      </c>
      <c r="AE214" s="119" t="s">
        <v>35</v>
      </c>
      <c r="AF214" s="119" t="s">
        <v>35</v>
      </c>
      <c r="AG214" s="119" t="s">
        <v>35</v>
      </c>
      <c r="AH214" s="119" t="s">
        <v>35</v>
      </c>
      <c r="AI214" s="119" t="s">
        <v>35</v>
      </c>
      <c r="AJ214" s="119" t="s">
        <v>35</v>
      </c>
    </row>
    <row r="215" spans="1:36" ht="18.75" customHeight="1" x14ac:dyDescent="0.25">
      <c r="A215" s="118" t="s">
        <v>171</v>
      </c>
      <c r="B215" s="807" t="s">
        <v>170</v>
      </c>
      <c r="C215" s="807" t="s">
        <v>169</v>
      </c>
      <c r="D215" s="807" t="s">
        <v>4634</v>
      </c>
      <c r="E215" s="807" t="s">
        <v>2977</v>
      </c>
      <c r="F215" s="807" t="s">
        <v>4317</v>
      </c>
      <c r="G215" s="807" t="s">
        <v>3136</v>
      </c>
      <c r="H215" s="807" t="s">
        <v>4635</v>
      </c>
      <c r="I215" s="807">
        <v>754</v>
      </c>
      <c r="J215" s="124" t="s">
        <v>4636</v>
      </c>
      <c r="K215" s="124" t="s">
        <v>35</v>
      </c>
      <c r="L215" s="807" t="s">
        <v>2980</v>
      </c>
      <c r="M215" s="807" t="s">
        <v>4637</v>
      </c>
      <c r="N215" s="807" t="s">
        <v>4638</v>
      </c>
      <c r="O215" s="807" t="s">
        <v>35</v>
      </c>
      <c r="P215" s="807" t="s">
        <v>3009</v>
      </c>
      <c r="Q215" s="807" t="s">
        <v>4639</v>
      </c>
      <c r="R215" s="807" t="s">
        <v>7</v>
      </c>
      <c r="S215" s="807" t="s">
        <v>3024</v>
      </c>
      <c r="T215" s="807" t="s">
        <v>4640</v>
      </c>
      <c r="U215" s="807" t="s">
        <v>4641</v>
      </c>
      <c r="V215" s="807" t="s">
        <v>4642</v>
      </c>
      <c r="W215" s="807" t="s">
        <v>3436</v>
      </c>
      <c r="X215" s="807" t="s">
        <v>4643</v>
      </c>
      <c r="Y215" s="807" t="s">
        <v>4644</v>
      </c>
      <c r="Z215" s="807" t="s">
        <v>4645</v>
      </c>
      <c r="AA215" s="807" t="s">
        <v>4646</v>
      </c>
      <c r="AB215" s="807" t="s">
        <v>4647</v>
      </c>
      <c r="AC215" s="807" t="s">
        <v>4648</v>
      </c>
      <c r="AD215" s="807" t="s">
        <v>4649</v>
      </c>
      <c r="AE215" s="807" t="s">
        <v>4650</v>
      </c>
      <c r="AF215" s="807" t="s">
        <v>4651</v>
      </c>
      <c r="AG215" s="807" t="s">
        <v>4652</v>
      </c>
      <c r="AH215" s="807" t="s">
        <v>4653</v>
      </c>
      <c r="AI215" s="807" t="s">
        <v>4654</v>
      </c>
      <c r="AJ215" s="807" t="s">
        <v>4655</v>
      </c>
    </row>
    <row r="216" spans="1:36" ht="18.75" customHeight="1" x14ac:dyDescent="0.25">
      <c r="A216" s="118" t="s">
        <v>171</v>
      </c>
      <c r="B216" s="807" t="s">
        <v>170</v>
      </c>
      <c r="C216" s="807" t="s">
        <v>169</v>
      </c>
      <c r="D216" s="807" t="s">
        <v>4656</v>
      </c>
      <c r="E216" s="807" t="s">
        <v>2977</v>
      </c>
      <c r="F216" s="807" t="s">
        <v>4179</v>
      </c>
      <c r="G216" s="807" t="s">
        <v>3136</v>
      </c>
      <c r="H216" s="807" t="s">
        <v>4657</v>
      </c>
      <c r="I216" s="807">
        <v>529</v>
      </c>
      <c r="J216" s="124" t="s">
        <v>3150</v>
      </c>
      <c r="K216" s="124" t="s">
        <v>35</v>
      </c>
      <c r="L216" s="807" t="s">
        <v>2980</v>
      </c>
      <c r="M216" s="807" t="s">
        <v>4658</v>
      </c>
      <c r="N216" s="807" t="s">
        <v>4659</v>
      </c>
      <c r="O216" s="807" t="s">
        <v>35</v>
      </c>
      <c r="P216" s="807" t="s">
        <v>3016</v>
      </c>
      <c r="Q216" s="807" t="s">
        <v>3389</v>
      </c>
      <c r="R216" s="807" t="s">
        <v>7</v>
      </c>
      <c r="S216" s="807" t="s">
        <v>3024</v>
      </c>
      <c r="T216" s="807" t="s">
        <v>35</v>
      </c>
      <c r="U216" s="807" t="s">
        <v>35</v>
      </c>
      <c r="V216" s="807" t="s">
        <v>35</v>
      </c>
      <c r="W216" s="807" t="s">
        <v>35</v>
      </c>
      <c r="X216" s="807" t="s">
        <v>35</v>
      </c>
      <c r="Y216" s="807" t="s">
        <v>35</v>
      </c>
      <c r="Z216" s="807" t="s">
        <v>35</v>
      </c>
      <c r="AA216" s="807" t="s">
        <v>35</v>
      </c>
      <c r="AB216" s="807" t="s">
        <v>35</v>
      </c>
      <c r="AC216" s="807" t="s">
        <v>35</v>
      </c>
      <c r="AD216" s="807" t="s">
        <v>35</v>
      </c>
      <c r="AE216" s="807" t="s">
        <v>35</v>
      </c>
      <c r="AF216" s="807" t="s">
        <v>35</v>
      </c>
      <c r="AG216" s="807" t="s">
        <v>35</v>
      </c>
      <c r="AH216" s="807" t="s">
        <v>35</v>
      </c>
      <c r="AI216" s="807" t="s">
        <v>35</v>
      </c>
      <c r="AJ216" s="807" t="s">
        <v>35</v>
      </c>
    </row>
    <row r="217" spans="1:36" ht="18.75" customHeight="1" x14ac:dyDescent="0.25">
      <c r="A217" s="118" t="s">
        <v>171</v>
      </c>
      <c r="B217" s="807" t="s">
        <v>170</v>
      </c>
      <c r="C217" s="807" t="s">
        <v>169</v>
      </c>
      <c r="D217" s="807" t="s">
        <v>4660</v>
      </c>
      <c r="E217" s="807" t="s">
        <v>3316</v>
      </c>
      <c r="F217" s="807" t="s">
        <v>312</v>
      </c>
      <c r="G217" s="807" t="s">
        <v>312</v>
      </c>
      <c r="H217" s="807" t="s">
        <v>4661</v>
      </c>
      <c r="I217" s="807">
        <v>22</v>
      </c>
      <c r="J217" s="124" t="s">
        <v>3355</v>
      </c>
      <c r="K217" s="124" t="s">
        <v>35</v>
      </c>
      <c r="L217" s="807" t="s">
        <v>3318</v>
      </c>
      <c r="M217" s="807" t="s">
        <v>4662</v>
      </c>
      <c r="N217" s="807" t="s">
        <v>35</v>
      </c>
      <c r="O217" s="807" t="s">
        <v>35</v>
      </c>
      <c r="P217" s="807" t="s">
        <v>35</v>
      </c>
      <c r="Q217" s="807" t="s">
        <v>35</v>
      </c>
      <c r="R217" s="807" t="s">
        <v>35</v>
      </c>
      <c r="S217" s="807" t="s">
        <v>35</v>
      </c>
      <c r="T217" s="807" t="s">
        <v>35</v>
      </c>
      <c r="U217" s="807" t="s">
        <v>35</v>
      </c>
      <c r="V217" s="807" t="s">
        <v>35</v>
      </c>
      <c r="W217" s="807" t="s">
        <v>35</v>
      </c>
      <c r="X217" s="807" t="s">
        <v>35</v>
      </c>
      <c r="Y217" s="807" t="s">
        <v>35</v>
      </c>
      <c r="Z217" s="807" t="s">
        <v>35</v>
      </c>
      <c r="AA217" s="807" t="s">
        <v>35</v>
      </c>
      <c r="AB217" s="807" t="s">
        <v>35</v>
      </c>
      <c r="AC217" s="807" t="s">
        <v>35</v>
      </c>
      <c r="AD217" s="807" t="s">
        <v>35</v>
      </c>
      <c r="AE217" s="807" t="s">
        <v>35</v>
      </c>
      <c r="AF217" s="807" t="s">
        <v>35</v>
      </c>
      <c r="AG217" s="807" t="s">
        <v>35</v>
      </c>
      <c r="AH217" s="807" t="s">
        <v>35</v>
      </c>
      <c r="AI217" s="807" t="s">
        <v>35</v>
      </c>
      <c r="AJ217" s="807" t="s">
        <v>35</v>
      </c>
    </row>
    <row r="218" spans="1:36" ht="18.75" customHeight="1" x14ac:dyDescent="0.25">
      <c r="A218" s="118" t="s">
        <v>171</v>
      </c>
      <c r="B218" s="807" t="s">
        <v>170</v>
      </c>
      <c r="C218" s="807" t="s">
        <v>169</v>
      </c>
      <c r="D218" s="807" t="s">
        <v>4663</v>
      </c>
      <c r="E218" s="807" t="s">
        <v>2977</v>
      </c>
      <c r="F218" s="807" t="s">
        <v>312</v>
      </c>
      <c r="G218" s="807" t="s">
        <v>312</v>
      </c>
      <c r="H218" s="807" t="s">
        <v>4664</v>
      </c>
      <c r="I218" s="807">
        <v>64</v>
      </c>
      <c r="J218" s="124" t="s">
        <v>4491</v>
      </c>
      <c r="K218" s="124" t="s">
        <v>35</v>
      </c>
      <c r="L218" s="807" t="s">
        <v>2980</v>
      </c>
      <c r="M218" s="807" t="s">
        <v>4665</v>
      </c>
      <c r="N218" s="807" t="s">
        <v>4666</v>
      </c>
      <c r="O218" s="807" t="s">
        <v>35</v>
      </c>
      <c r="P218" s="807" t="s">
        <v>2983</v>
      </c>
      <c r="Q218" s="807" t="s">
        <v>3823</v>
      </c>
      <c r="R218" s="807" t="s">
        <v>7</v>
      </c>
      <c r="S218" s="807" t="s">
        <v>35</v>
      </c>
      <c r="T218" s="807" t="s">
        <v>35</v>
      </c>
      <c r="U218" s="807" t="s">
        <v>35</v>
      </c>
      <c r="V218" s="807" t="s">
        <v>35</v>
      </c>
      <c r="W218" s="807" t="s">
        <v>35</v>
      </c>
      <c r="X218" s="807" t="s">
        <v>35</v>
      </c>
      <c r="Y218" s="807" t="s">
        <v>35</v>
      </c>
      <c r="Z218" s="807" t="s">
        <v>35</v>
      </c>
      <c r="AA218" s="807" t="s">
        <v>35</v>
      </c>
      <c r="AB218" s="807" t="s">
        <v>35</v>
      </c>
      <c r="AC218" s="807" t="s">
        <v>35</v>
      </c>
      <c r="AD218" s="807" t="s">
        <v>35</v>
      </c>
      <c r="AE218" s="807" t="s">
        <v>35</v>
      </c>
      <c r="AF218" s="807" t="s">
        <v>35</v>
      </c>
      <c r="AG218" s="807" t="s">
        <v>35</v>
      </c>
      <c r="AH218" s="807" t="s">
        <v>35</v>
      </c>
      <c r="AI218" s="807" t="s">
        <v>35</v>
      </c>
      <c r="AJ218" s="807" t="s">
        <v>35</v>
      </c>
    </row>
    <row r="219" spans="1:36" ht="18.75" customHeight="1" x14ac:dyDescent="0.25">
      <c r="A219" s="118" t="s">
        <v>171</v>
      </c>
      <c r="B219" s="807" t="s">
        <v>170</v>
      </c>
      <c r="C219" s="807" t="s">
        <v>169</v>
      </c>
      <c r="D219" s="807" t="s">
        <v>4667</v>
      </c>
      <c r="E219" s="807" t="s">
        <v>2977</v>
      </c>
      <c r="F219" s="807" t="s">
        <v>4668</v>
      </c>
      <c r="G219" s="807" t="s">
        <v>3136</v>
      </c>
      <c r="H219" s="807" t="s">
        <v>4669</v>
      </c>
      <c r="I219" s="807">
        <v>633</v>
      </c>
      <c r="J219" s="124" t="s">
        <v>4415</v>
      </c>
      <c r="K219" s="124" t="s">
        <v>35</v>
      </c>
      <c r="L219" s="807" t="s">
        <v>2980</v>
      </c>
      <c r="M219" s="807" t="s">
        <v>4658</v>
      </c>
      <c r="N219" s="807" t="s">
        <v>4659</v>
      </c>
      <c r="O219" s="807" t="s">
        <v>35</v>
      </c>
      <c r="P219" s="807" t="s">
        <v>2983</v>
      </c>
      <c r="Q219" s="807" t="s">
        <v>3579</v>
      </c>
      <c r="R219" s="807" t="s">
        <v>7</v>
      </c>
      <c r="S219" s="807" t="s">
        <v>3024</v>
      </c>
      <c r="T219" s="807" t="s">
        <v>35</v>
      </c>
      <c r="U219" s="807" t="s">
        <v>35</v>
      </c>
      <c r="V219" s="807" t="s">
        <v>35</v>
      </c>
      <c r="W219" s="807" t="s">
        <v>35</v>
      </c>
      <c r="X219" s="807" t="s">
        <v>35</v>
      </c>
      <c r="Y219" s="807" t="s">
        <v>35</v>
      </c>
      <c r="Z219" s="807" t="s">
        <v>35</v>
      </c>
      <c r="AA219" s="807" t="s">
        <v>35</v>
      </c>
      <c r="AB219" s="807" t="s">
        <v>35</v>
      </c>
      <c r="AC219" s="807" t="s">
        <v>35</v>
      </c>
      <c r="AD219" s="807" t="s">
        <v>35</v>
      </c>
      <c r="AE219" s="807" t="s">
        <v>35</v>
      </c>
      <c r="AF219" s="807" t="s">
        <v>35</v>
      </c>
      <c r="AG219" s="807" t="s">
        <v>35</v>
      </c>
      <c r="AH219" s="807" t="s">
        <v>35</v>
      </c>
      <c r="AI219" s="807" t="s">
        <v>35</v>
      </c>
      <c r="AJ219" s="807" t="s">
        <v>35</v>
      </c>
    </row>
    <row r="220" spans="1:36" ht="18.75" customHeight="1" x14ac:dyDescent="0.25">
      <c r="A220" s="118" t="s">
        <v>171</v>
      </c>
      <c r="B220" s="807" t="s">
        <v>170</v>
      </c>
      <c r="C220" s="807" t="s">
        <v>169</v>
      </c>
      <c r="D220" s="807" t="s">
        <v>4670</v>
      </c>
      <c r="E220" s="807" t="s">
        <v>3316</v>
      </c>
      <c r="F220" s="807" t="s">
        <v>312</v>
      </c>
      <c r="G220" s="807" t="s">
        <v>312</v>
      </c>
      <c r="H220" s="807" t="s">
        <v>4671</v>
      </c>
      <c r="I220" s="807">
        <v>275</v>
      </c>
      <c r="J220" s="124" t="s">
        <v>3138</v>
      </c>
      <c r="K220" s="124" t="s">
        <v>35</v>
      </c>
      <c r="L220" s="807" t="s">
        <v>3459</v>
      </c>
      <c r="M220" s="807" t="s">
        <v>4672</v>
      </c>
      <c r="N220" s="807" t="s">
        <v>4673</v>
      </c>
      <c r="O220" s="807" t="s">
        <v>35</v>
      </c>
      <c r="P220" s="807" t="s">
        <v>3649</v>
      </c>
      <c r="Q220" s="807" t="s">
        <v>3389</v>
      </c>
      <c r="R220" s="807" t="s">
        <v>7</v>
      </c>
      <c r="S220" s="807" t="s">
        <v>35</v>
      </c>
      <c r="T220" s="807" t="s">
        <v>35</v>
      </c>
      <c r="U220" s="807" t="s">
        <v>35</v>
      </c>
      <c r="V220" s="807" t="s">
        <v>35</v>
      </c>
      <c r="W220" s="807" t="s">
        <v>35</v>
      </c>
      <c r="X220" s="807" t="s">
        <v>35</v>
      </c>
      <c r="Y220" s="807" t="s">
        <v>35</v>
      </c>
      <c r="Z220" s="807" t="s">
        <v>35</v>
      </c>
      <c r="AA220" s="807" t="s">
        <v>35</v>
      </c>
      <c r="AB220" s="807" t="s">
        <v>35</v>
      </c>
      <c r="AC220" s="807" t="s">
        <v>35</v>
      </c>
      <c r="AD220" s="807" t="s">
        <v>35</v>
      </c>
      <c r="AE220" s="807" t="s">
        <v>35</v>
      </c>
      <c r="AF220" s="807" t="s">
        <v>35</v>
      </c>
      <c r="AG220" s="807" t="s">
        <v>35</v>
      </c>
      <c r="AH220" s="807" t="s">
        <v>35</v>
      </c>
      <c r="AI220" s="807" t="s">
        <v>35</v>
      </c>
      <c r="AJ220" s="807" t="s">
        <v>35</v>
      </c>
    </row>
    <row r="221" spans="1:36" ht="18.75" customHeight="1" x14ac:dyDescent="0.25">
      <c r="A221" s="118" t="s">
        <v>171</v>
      </c>
      <c r="B221" s="807" t="s">
        <v>170</v>
      </c>
      <c r="C221" s="807" t="s">
        <v>169</v>
      </c>
      <c r="D221" s="807" t="s">
        <v>4674</v>
      </c>
      <c r="E221" s="807" t="s">
        <v>3316</v>
      </c>
      <c r="F221" s="807" t="s">
        <v>4675</v>
      </c>
      <c r="G221" s="807" t="s">
        <v>3136</v>
      </c>
      <c r="H221" s="807" t="s">
        <v>4676</v>
      </c>
      <c r="I221" s="807">
        <v>22</v>
      </c>
      <c r="J221" s="124" t="s">
        <v>3074</v>
      </c>
      <c r="K221" s="124" t="s">
        <v>35</v>
      </c>
      <c r="L221" s="807" t="s">
        <v>3318</v>
      </c>
      <c r="M221" s="807" t="s">
        <v>4662</v>
      </c>
      <c r="N221" s="807" t="s">
        <v>35</v>
      </c>
      <c r="O221" s="807" t="s">
        <v>35</v>
      </c>
      <c r="P221" s="807" t="s">
        <v>35</v>
      </c>
      <c r="Q221" s="807" t="s">
        <v>35</v>
      </c>
      <c r="R221" s="807" t="s">
        <v>35</v>
      </c>
      <c r="S221" s="807" t="s">
        <v>35</v>
      </c>
      <c r="T221" s="807" t="s">
        <v>35</v>
      </c>
      <c r="U221" s="807" t="s">
        <v>35</v>
      </c>
      <c r="V221" s="807" t="s">
        <v>35</v>
      </c>
      <c r="W221" s="807" t="s">
        <v>35</v>
      </c>
      <c r="X221" s="807" t="s">
        <v>35</v>
      </c>
      <c r="Y221" s="807" t="s">
        <v>35</v>
      </c>
      <c r="Z221" s="807" t="s">
        <v>35</v>
      </c>
      <c r="AA221" s="807" t="s">
        <v>35</v>
      </c>
      <c r="AB221" s="807" t="s">
        <v>35</v>
      </c>
      <c r="AC221" s="807" t="s">
        <v>35</v>
      </c>
      <c r="AD221" s="807" t="s">
        <v>35</v>
      </c>
      <c r="AE221" s="807" t="s">
        <v>35</v>
      </c>
      <c r="AF221" s="807" t="s">
        <v>35</v>
      </c>
      <c r="AG221" s="807" t="s">
        <v>35</v>
      </c>
      <c r="AH221" s="807" t="s">
        <v>35</v>
      </c>
      <c r="AI221" s="807" t="s">
        <v>35</v>
      </c>
      <c r="AJ221" s="807" t="s">
        <v>35</v>
      </c>
    </row>
    <row r="222" spans="1:36" ht="18.75" customHeight="1" x14ac:dyDescent="0.25">
      <c r="A222" s="118" t="s">
        <v>171</v>
      </c>
      <c r="B222" s="807" t="s">
        <v>170</v>
      </c>
      <c r="C222" s="807" t="s">
        <v>169</v>
      </c>
      <c r="D222" s="807" t="s">
        <v>4677</v>
      </c>
      <c r="E222" s="807" t="s">
        <v>3316</v>
      </c>
      <c r="F222" s="807" t="s">
        <v>312</v>
      </c>
      <c r="G222" s="807" t="s">
        <v>312</v>
      </c>
      <c r="H222" s="807" t="s">
        <v>4678</v>
      </c>
      <c r="I222" s="807">
        <v>126</v>
      </c>
      <c r="J222" s="124" t="s">
        <v>4679</v>
      </c>
      <c r="K222" s="124" t="s">
        <v>35</v>
      </c>
      <c r="L222" s="807" t="s">
        <v>3318</v>
      </c>
      <c r="M222" s="807" t="s">
        <v>4680</v>
      </c>
      <c r="N222" s="807" t="s">
        <v>35</v>
      </c>
      <c r="O222" s="807" t="s">
        <v>35</v>
      </c>
      <c r="P222" s="807" t="s">
        <v>35</v>
      </c>
      <c r="Q222" s="807" t="s">
        <v>35</v>
      </c>
      <c r="R222" s="807" t="s">
        <v>35</v>
      </c>
      <c r="S222" s="807" t="s">
        <v>35</v>
      </c>
      <c r="T222" s="807" t="s">
        <v>35</v>
      </c>
      <c r="U222" s="807" t="s">
        <v>35</v>
      </c>
      <c r="V222" s="807" t="s">
        <v>35</v>
      </c>
      <c r="W222" s="807" t="s">
        <v>35</v>
      </c>
      <c r="X222" s="807" t="s">
        <v>35</v>
      </c>
      <c r="Y222" s="807" t="s">
        <v>35</v>
      </c>
      <c r="Z222" s="807" t="s">
        <v>35</v>
      </c>
      <c r="AA222" s="807" t="s">
        <v>35</v>
      </c>
      <c r="AB222" s="807" t="s">
        <v>35</v>
      </c>
      <c r="AC222" s="807" t="s">
        <v>35</v>
      </c>
      <c r="AD222" s="807" t="s">
        <v>35</v>
      </c>
      <c r="AE222" s="807" t="s">
        <v>35</v>
      </c>
      <c r="AF222" s="807" t="s">
        <v>35</v>
      </c>
      <c r="AG222" s="807" t="s">
        <v>35</v>
      </c>
      <c r="AH222" s="807" t="s">
        <v>35</v>
      </c>
      <c r="AI222" s="807" t="s">
        <v>35</v>
      </c>
      <c r="AJ222" s="807" t="s">
        <v>35</v>
      </c>
    </row>
    <row r="223" spans="1:36" ht="18.75" customHeight="1" x14ac:dyDescent="0.25">
      <c r="A223" s="118" t="s">
        <v>171</v>
      </c>
      <c r="B223" s="807" t="s">
        <v>170</v>
      </c>
      <c r="C223" s="807" t="s">
        <v>169</v>
      </c>
      <c r="D223" s="807" t="s">
        <v>4681</v>
      </c>
      <c r="E223" s="807" t="s">
        <v>3316</v>
      </c>
      <c r="F223" s="807" t="s">
        <v>4682</v>
      </c>
      <c r="G223" s="807" t="s">
        <v>3136</v>
      </c>
      <c r="H223" s="807" t="s">
        <v>4683</v>
      </c>
      <c r="I223" s="807">
        <v>74</v>
      </c>
      <c r="J223" s="124" t="s">
        <v>35</v>
      </c>
      <c r="K223" s="124" t="s">
        <v>3176</v>
      </c>
      <c r="L223" s="807" t="s">
        <v>4624</v>
      </c>
      <c r="M223" s="807" t="s">
        <v>4684</v>
      </c>
      <c r="N223" s="807" t="s">
        <v>35</v>
      </c>
      <c r="O223" s="807" t="s">
        <v>35</v>
      </c>
      <c r="P223" s="807" t="s">
        <v>35</v>
      </c>
      <c r="Q223" s="807" t="s">
        <v>35</v>
      </c>
      <c r="R223" s="807" t="s">
        <v>35</v>
      </c>
      <c r="S223" s="807" t="s">
        <v>35</v>
      </c>
      <c r="T223" s="807" t="s">
        <v>35</v>
      </c>
      <c r="U223" s="807" t="s">
        <v>35</v>
      </c>
      <c r="V223" s="807" t="s">
        <v>35</v>
      </c>
      <c r="W223" s="807" t="s">
        <v>35</v>
      </c>
      <c r="X223" s="807" t="s">
        <v>35</v>
      </c>
      <c r="Y223" s="807" t="s">
        <v>35</v>
      </c>
      <c r="Z223" s="807" t="s">
        <v>35</v>
      </c>
      <c r="AA223" s="807" t="s">
        <v>35</v>
      </c>
      <c r="AB223" s="807" t="s">
        <v>35</v>
      </c>
      <c r="AC223" s="807" t="s">
        <v>35</v>
      </c>
      <c r="AD223" s="807" t="s">
        <v>35</v>
      </c>
      <c r="AE223" s="807" t="s">
        <v>35</v>
      </c>
      <c r="AF223" s="807" t="s">
        <v>35</v>
      </c>
      <c r="AG223" s="807" t="s">
        <v>35</v>
      </c>
      <c r="AH223" s="807" t="s">
        <v>35</v>
      </c>
      <c r="AI223" s="807" t="s">
        <v>35</v>
      </c>
      <c r="AJ223" s="807" t="s">
        <v>35</v>
      </c>
    </row>
    <row r="224" spans="1:36" ht="18.75" customHeight="1" x14ac:dyDescent="0.25">
      <c r="A224" s="118" t="s">
        <v>171</v>
      </c>
      <c r="B224" s="807" t="s">
        <v>170</v>
      </c>
      <c r="C224" s="807" t="s">
        <v>169</v>
      </c>
      <c r="D224" s="807" t="s">
        <v>4685</v>
      </c>
      <c r="E224" s="807" t="s">
        <v>3316</v>
      </c>
      <c r="F224" s="807" t="s">
        <v>312</v>
      </c>
      <c r="G224" s="807" t="s">
        <v>312</v>
      </c>
      <c r="H224" s="807" t="s">
        <v>4686</v>
      </c>
      <c r="I224" s="807">
        <v>130</v>
      </c>
      <c r="J224" s="124" t="s">
        <v>3019</v>
      </c>
      <c r="K224" s="124" t="s">
        <v>35</v>
      </c>
      <c r="L224" s="807" t="s">
        <v>3459</v>
      </c>
      <c r="M224" s="807" t="s">
        <v>4658</v>
      </c>
      <c r="N224" s="807" t="s">
        <v>4659</v>
      </c>
      <c r="O224" s="807" t="s">
        <v>35</v>
      </c>
      <c r="P224" s="807" t="s">
        <v>3009</v>
      </c>
      <c r="Q224" s="807" t="s">
        <v>4687</v>
      </c>
      <c r="R224" s="807" t="s">
        <v>7</v>
      </c>
      <c r="S224" s="807" t="s">
        <v>3024</v>
      </c>
      <c r="T224" s="807" t="s">
        <v>35</v>
      </c>
      <c r="U224" s="807" t="s">
        <v>35</v>
      </c>
      <c r="V224" s="807" t="s">
        <v>35</v>
      </c>
      <c r="W224" s="807" t="s">
        <v>35</v>
      </c>
      <c r="X224" s="807" t="s">
        <v>35</v>
      </c>
      <c r="Y224" s="807" t="s">
        <v>35</v>
      </c>
      <c r="Z224" s="807" t="s">
        <v>35</v>
      </c>
      <c r="AA224" s="807" t="s">
        <v>35</v>
      </c>
      <c r="AB224" s="807" t="s">
        <v>35</v>
      </c>
      <c r="AC224" s="807" t="s">
        <v>35</v>
      </c>
      <c r="AD224" s="807" t="s">
        <v>35</v>
      </c>
      <c r="AE224" s="807" t="s">
        <v>35</v>
      </c>
      <c r="AF224" s="807" t="s">
        <v>35</v>
      </c>
      <c r="AG224" s="807" t="s">
        <v>35</v>
      </c>
      <c r="AH224" s="807" t="s">
        <v>35</v>
      </c>
      <c r="AI224" s="807" t="s">
        <v>35</v>
      </c>
      <c r="AJ224" s="807" t="s">
        <v>35</v>
      </c>
    </row>
    <row r="225" spans="1:36" ht="18.75" customHeight="1" x14ac:dyDescent="0.25">
      <c r="A225" s="118" t="s">
        <v>171</v>
      </c>
      <c r="B225" s="807" t="s">
        <v>170</v>
      </c>
      <c r="C225" s="807" t="s">
        <v>169</v>
      </c>
      <c r="D225" s="807" t="s">
        <v>4688</v>
      </c>
      <c r="E225" s="807" t="s">
        <v>2977</v>
      </c>
      <c r="F225" s="807" t="s">
        <v>312</v>
      </c>
      <c r="G225" s="807" t="s">
        <v>312</v>
      </c>
      <c r="H225" s="807" t="s">
        <v>4689</v>
      </c>
      <c r="I225" s="807">
        <v>29</v>
      </c>
      <c r="J225" s="124" t="s">
        <v>35</v>
      </c>
      <c r="K225" s="124" t="s">
        <v>35</v>
      </c>
      <c r="L225" s="807" t="s">
        <v>3558</v>
      </c>
      <c r="M225" s="807" t="s">
        <v>35</v>
      </c>
      <c r="N225" s="807" t="s">
        <v>35</v>
      </c>
      <c r="O225" s="807">
        <v>72</v>
      </c>
      <c r="P225" s="807" t="s">
        <v>35</v>
      </c>
      <c r="Q225" s="807" t="s">
        <v>35</v>
      </c>
      <c r="R225" s="807" t="s">
        <v>35</v>
      </c>
      <c r="S225" s="807" t="s">
        <v>35</v>
      </c>
      <c r="T225" s="807" t="s">
        <v>35</v>
      </c>
      <c r="U225" s="807" t="s">
        <v>35</v>
      </c>
      <c r="V225" s="807" t="s">
        <v>35</v>
      </c>
      <c r="W225" s="807" t="s">
        <v>35</v>
      </c>
      <c r="X225" s="807" t="s">
        <v>35</v>
      </c>
      <c r="Y225" s="807" t="s">
        <v>35</v>
      </c>
      <c r="Z225" s="807" t="s">
        <v>35</v>
      </c>
      <c r="AA225" s="807" t="s">
        <v>35</v>
      </c>
      <c r="AB225" s="807" t="s">
        <v>35</v>
      </c>
      <c r="AC225" s="807" t="s">
        <v>35</v>
      </c>
      <c r="AD225" s="807" t="s">
        <v>35</v>
      </c>
      <c r="AE225" s="807" t="s">
        <v>35</v>
      </c>
      <c r="AF225" s="807" t="s">
        <v>35</v>
      </c>
      <c r="AG225" s="807" t="s">
        <v>35</v>
      </c>
      <c r="AH225" s="807" t="s">
        <v>35</v>
      </c>
      <c r="AI225" s="807" t="s">
        <v>35</v>
      </c>
      <c r="AJ225" s="807" t="s">
        <v>35</v>
      </c>
    </row>
    <row r="226" spans="1:36" ht="18.75" customHeight="1" x14ac:dyDescent="0.25">
      <c r="A226" s="118" t="s">
        <v>171</v>
      </c>
      <c r="B226" s="807" t="s">
        <v>170</v>
      </c>
      <c r="C226" s="807" t="s">
        <v>169</v>
      </c>
      <c r="D226" s="807" t="s">
        <v>4690</v>
      </c>
      <c r="E226" s="807" t="s">
        <v>2977</v>
      </c>
      <c r="F226" s="807" t="s">
        <v>312</v>
      </c>
      <c r="G226" s="807" t="s">
        <v>312</v>
      </c>
      <c r="H226" s="807" t="s">
        <v>4691</v>
      </c>
      <c r="I226" s="807">
        <v>83</v>
      </c>
      <c r="J226" s="124" t="s">
        <v>3237</v>
      </c>
      <c r="K226" s="124" t="s">
        <v>35</v>
      </c>
      <c r="L226" s="807" t="s">
        <v>2980</v>
      </c>
      <c r="M226" s="807" t="s">
        <v>4692</v>
      </c>
      <c r="N226" s="807" t="s">
        <v>4693</v>
      </c>
      <c r="O226" s="807" t="s">
        <v>35</v>
      </c>
      <c r="P226" s="807" t="s">
        <v>2983</v>
      </c>
      <c r="Q226" s="807" t="s">
        <v>4639</v>
      </c>
      <c r="R226" s="807" t="s">
        <v>7</v>
      </c>
      <c r="S226" s="807" t="s">
        <v>35</v>
      </c>
      <c r="T226" s="807" t="s">
        <v>35</v>
      </c>
      <c r="U226" s="807" t="s">
        <v>35</v>
      </c>
      <c r="V226" s="807" t="s">
        <v>35</v>
      </c>
      <c r="W226" s="807" t="s">
        <v>35</v>
      </c>
      <c r="X226" s="807" t="s">
        <v>35</v>
      </c>
      <c r="Y226" s="807" t="s">
        <v>35</v>
      </c>
      <c r="Z226" s="807" t="s">
        <v>35</v>
      </c>
      <c r="AA226" s="807" t="s">
        <v>35</v>
      </c>
      <c r="AB226" s="807" t="s">
        <v>35</v>
      </c>
      <c r="AC226" s="807" t="s">
        <v>35</v>
      </c>
      <c r="AD226" s="807" t="s">
        <v>35</v>
      </c>
      <c r="AE226" s="807" t="s">
        <v>35</v>
      </c>
      <c r="AF226" s="807" t="s">
        <v>35</v>
      </c>
      <c r="AG226" s="807" t="s">
        <v>35</v>
      </c>
      <c r="AH226" s="807" t="s">
        <v>35</v>
      </c>
      <c r="AI226" s="807" t="s">
        <v>35</v>
      </c>
      <c r="AJ226" s="807" t="s">
        <v>35</v>
      </c>
    </row>
    <row r="227" spans="1:36" ht="18.75" customHeight="1" x14ac:dyDescent="0.25">
      <c r="A227" s="118" t="s">
        <v>171</v>
      </c>
      <c r="B227" s="807" t="s">
        <v>170</v>
      </c>
      <c r="C227" s="807" t="s">
        <v>169</v>
      </c>
      <c r="D227" s="807" t="s">
        <v>4694</v>
      </c>
      <c r="E227" s="807" t="s">
        <v>3316</v>
      </c>
      <c r="F227" s="807" t="s">
        <v>312</v>
      </c>
      <c r="G227" s="807" t="s">
        <v>312</v>
      </c>
      <c r="H227" s="807" t="s">
        <v>4695</v>
      </c>
      <c r="I227" s="807">
        <v>22</v>
      </c>
      <c r="J227" s="124" t="s">
        <v>35</v>
      </c>
      <c r="K227" s="124" t="s">
        <v>4491</v>
      </c>
      <c r="L227" s="807" t="s">
        <v>4624</v>
      </c>
      <c r="M227" s="807" t="s">
        <v>4696</v>
      </c>
      <c r="N227" s="807" t="s">
        <v>35</v>
      </c>
      <c r="O227" s="807" t="s">
        <v>35</v>
      </c>
      <c r="P227" s="807" t="s">
        <v>35</v>
      </c>
      <c r="Q227" s="807" t="s">
        <v>35</v>
      </c>
      <c r="R227" s="807" t="s">
        <v>35</v>
      </c>
      <c r="S227" s="807" t="s">
        <v>35</v>
      </c>
      <c r="T227" s="807" t="s">
        <v>35</v>
      </c>
      <c r="U227" s="807" t="s">
        <v>35</v>
      </c>
      <c r="V227" s="807" t="s">
        <v>35</v>
      </c>
      <c r="W227" s="807" t="s">
        <v>35</v>
      </c>
      <c r="X227" s="807" t="s">
        <v>35</v>
      </c>
      <c r="Y227" s="807" t="s">
        <v>35</v>
      </c>
      <c r="Z227" s="807" t="s">
        <v>35</v>
      </c>
      <c r="AA227" s="807" t="s">
        <v>35</v>
      </c>
      <c r="AB227" s="807" t="s">
        <v>35</v>
      </c>
      <c r="AC227" s="807" t="s">
        <v>35</v>
      </c>
      <c r="AD227" s="807" t="s">
        <v>35</v>
      </c>
      <c r="AE227" s="807" t="s">
        <v>35</v>
      </c>
      <c r="AF227" s="807" t="s">
        <v>35</v>
      </c>
      <c r="AG227" s="807" t="s">
        <v>35</v>
      </c>
      <c r="AH227" s="807" t="s">
        <v>35</v>
      </c>
      <c r="AI227" s="807" t="s">
        <v>35</v>
      </c>
      <c r="AJ227" s="807" t="s">
        <v>35</v>
      </c>
    </row>
    <row r="228" spans="1:36" ht="18.75" customHeight="1" x14ac:dyDescent="0.25">
      <c r="A228" s="118" t="s">
        <v>171</v>
      </c>
      <c r="B228" s="807" t="s">
        <v>170</v>
      </c>
      <c r="C228" s="807" t="s">
        <v>169</v>
      </c>
      <c r="D228" s="807" t="s">
        <v>4697</v>
      </c>
      <c r="E228" s="807" t="s">
        <v>3316</v>
      </c>
      <c r="F228" s="807" t="s">
        <v>312</v>
      </c>
      <c r="G228" s="807" t="s">
        <v>312</v>
      </c>
      <c r="H228" s="807" t="s">
        <v>4698</v>
      </c>
      <c r="I228" s="807">
        <v>38</v>
      </c>
      <c r="J228" s="124" t="s">
        <v>3278</v>
      </c>
      <c r="K228" s="124" t="s">
        <v>35</v>
      </c>
      <c r="L228" s="807" t="s">
        <v>3318</v>
      </c>
      <c r="M228" s="807" t="s">
        <v>4699</v>
      </c>
      <c r="N228" s="807" t="s">
        <v>35</v>
      </c>
      <c r="O228" s="807" t="s">
        <v>35</v>
      </c>
      <c r="P228" s="807" t="s">
        <v>35</v>
      </c>
      <c r="Q228" s="807" t="s">
        <v>35</v>
      </c>
      <c r="R228" s="807" t="s">
        <v>35</v>
      </c>
      <c r="S228" s="807" t="s">
        <v>35</v>
      </c>
      <c r="T228" s="807" t="s">
        <v>35</v>
      </c>
      <c r="U228" s="807" t="s">
        <v>35</v>
      </c>
      <c r="V228" s="807" t="s">
        <v>35</v>
      </c>
      <c r="W228" s="807" t="s">
        <v>35</v>
      </c>
      <c r="X228" s="807" t="s">
        <v>35</v>
      </c>
      <c r="Y228" s="807" t="s">
        <v>35</v>
      </c>
      <c r="Z228" s="807" t="s">
        <v>35</v>
      </c>
      <c r="AA228" s="807" t="s">
        <v>35</v>
      </c>
      <c r="AB228" s="807" t="s">
        <v>35</v>
      </c>
      <c r="AC228" s="807" t="s">
        <v>35</v>
      </c>
      <c r="AD228" s="807" t="s">
        <v>35</v>
      </c>
      <c r="AE228" s="807" t="s">
        <v>35</v>
      </c>
      <c r="AF228" s="807" t="s">
        <v>35</v>
      </c>
      <c r="AG228" s="807" t="s">
        <v>35</v>
      </c>
      <c r="AH228" s="807" t="s">
        <v>35</v>
      </c>
      <c r="AI228" s="807" t="s">
        <v>35</v>
      </c>
      <c r="AJ228" s="807" t="s">
        <v>35</v>
      </c>
    </row>
    <row r="229" spans="1:36" ht="18.75" customHeight="1" x14ac:dyDescent="0.25">
      <c r="A229" s="117" t="s">
        <v>171</v>
      </c>
      <c r="B229" s="119" t="s">
        <v>175</v>
      </c>
      <c r="C229" s="119" t="s">
        <v>174</v>
      </c>
      <c r="D229" s="119" t="s">
        <v>4634</v>
      </c>
      <c r="E229" s="119" t="s">
        <v>2977</v>
      </c>
      <c r="F229" s="119" t="s">
        <v>4317</v>
      </c>
      <c r="G229" s="119" t="s">
        <v>3136</v>
      </c>
      <c r="H229" s="119" t="s">
        <v>4700</v>
      </c>
      <c r="I229" s="119">
        <v>754</v>
      </c>
      <c r="J229" s="120" t="s">
        <v>4701</v>
      </c>
      <c r="K229" s="120" t="s">
        <v>35</v>
      </c>
      <c r="L229" s="119" t="s">
        <v>2980</v>
      </c>
      <c r="M229" s="119" t="s">
        <v>4702</v>
      </c>
      <c r="N229" s="119" t="s">
        <v>4703</v>
      </c>
      <c r="O229" s="119" t="s">
        <v>35</v>
      </c>
      <c r="P229" s="119" t="s">
        <v>4704</v>
      </c>
      <c r="Q229" s="119" t="s">
        <v>4705</v>
      </c>
      <c r="R229" s="119" t="s">
        <v>2985</v>
      </c>
      <c r="S229" s="119" t="s">
        <v>3024</v>
      </c>
      <c r="T229" s="119" t="s">
        <v>4706</v>
      </c>
      <c r="U229" s="119" t="s">
        <v>4707</v>
      </c>
      <c r="V229" s="119" t="s">
        <v>4708</v>
      </c>
      <c r="W229" s="119" t="s">
        <v>4709</v>
      </c>
      <c r="X229" s="119" t="s">
        <v>4710</v>
      </c>
      <c r="Y229" s="119" t="s">
        <v>4711</v>
      </c>
      <c r="Z229" s="119" t="s">
        <v>4712</v>
      </c>
      <c r="AA229" s="119" t="s">
        <v>4713</v>
      </c>
      <c r="AB229" s="119" t="s">
        <v>4714</v>
      </c>
      <c r="AC229" s="119" t="s">
        <v>4715</v>
      </c>
      <c r="AD229" s="119" t="s">
        <v>4716</v>
      </c>
      <c r="AE229" s="119" t="s">
        <v>4717</v>
      </c>
      <c r="AF229" s="119" t="s">
        <v>4718</v>
      </c>
      <c r="AG229" s="119" t="s">
        <v>4719</v>
      </c>
      <c r="AH229" s="119" t="s">
        <v>4720</v>
      </c>
      <c r="AI229" s="119" t="s">
        <v>4721</v>
      </c>
      <c r="AJ229" s="119" t="s">
        <v>4722</v>
      </c>
    </row>
    <row r="230" spans="1:36" ht="18.75" customHeight="1" x14ac:dyDescent="0.25">
      <c r="A230" s="117" t="s">
        <v>171</v>
      </c>
      <c r="B230" s="119" t="s">
        <v>175</v>
      </c>
      <c r="C230" s="119" t="s">
        <v>174</v>
      </c>
      <c r="D230" s="119" t="s">
        <v>4656</v>
      </c>
      <c r="E230" s="119" t="s">
        <v>2977</v>
      </c>
      <c r="F230" s="119" t="s">
        <v>4179</v>
      </c>
      <c r="G230" s="119" t="s">
        <v>3136</v>
      </c>
      <c r="H230" s="119" t="s">
        <v>4657</v>
      </c>
      <c r="I230" s="119">
        <v>529</v>
      </c>
      <c r="J230" s="120" t="s">
        <v>35</v>
      </c>
      <c r="K230" s="120" t="s">
        <v>4723</v>
      </c>
      <c r="L230" s="119" t="s">
        <v>3172</v>
      </c>
      <c r="M230" s="119" t="s">
        <v>4724</v>
      </c>
      <c r="N230" s="119" t="s">
        <v>35</v>
      </c>
      <c r="O230" s="119" t="s">
        <v>35</v>
      </c>
      <c r="P230" s="119" t="s">
        <v>35</v>
      </c>
      <c r="Q230" s="119" t="s">
        <v>35</v>
      </c>
      <c r="R230" s="119" t="s">
        <v>35</v>
      </c>
      <c r="S230" s="119" t="s">
        <v>35</v>
      </c>
      <c r="T230" s="119" t="s">
        <v>35</v>
      </c>
      <c r="U230" s="119" t="s">
        <v>35</v>
      </c>
      <c r="V230" s="119" t="s">
        <v>35</v>
      </c>
      <c r="W230" s="119" t="s">
        <v>35</v>
      </c>
      <c r="X230" s="119" t="s">
        <v>35</v>
      </c>
      <c r="Y230" s="119" t="s">
        <v>35</v>
      </c>
      <c r="Z230" s="119" t="s">
        <v>35</v>
      </c>
      <c r="AA230" s="119" t="s">
        <v>35</v>
      </c>
      <c r="AB230" s="119" t="s">
        <v>35</v>
      </c>
      <c r="AC230" s="119" t="s">
        <v>35</v>
      </c>
      <c r="AD230" s="119" t="s">
        <v>35</v>
      </c>
      <c r="AE230" s="119" t="s">
        <v>35</v>
      </c>
      <c r="AF230" s="119" t="s">
        <v>35</v>
      </c>
      <c r="AG230" s="119" t="s">
        <v>35</v>
      </c>
      <c r="AH230" s="119" t="s">
        <v>35</v>
      </c>
      <c r="AI230" s="119" t="s">
        <v>35</v>
      </c>
      <c r="AJ230" s="119" t="s">
        <v>35</v>
      </c>
    </row>
    <row r="231" spans="1:36" ht="18.75" customHeight="1" x14ac:dyDescent="0.25">
      <c r="A231" s="117" t="s">
        <v>171</v>
      </c>
      <c r="B231" s="119" t="s">
        <v>175</v>
      </c>
      <c r="C231" s="119" t="s">
        <v>174</v>
      </c>
      <c r="D231" s="119" t="s">
        <v>4667</v>
      </c>
      <c r="E231" s="119" t="s">
        <v>2977</v>
      </c>
      <c r="F231" s="119" t="s">
        <v>4668</v>
      </c>
      <c r="G231" s="119" t="s">
        <v>3136</v>
      </c>
      <c r="H231" s="119" t="s">
        <v>4725</v>
      </c>
      <c r="I231" s="119"/>
      <c r="J231" s="120" t="s">
        <v>4726</v>
      </c>
      <c r="K231" s="120" t="s">
        <v>35</v>
      </c>
      <c r="L231" s="119" t="s">
        <v>2980</v>
      </c>
      <c r="M231" s="119" t="s">
        <v>4727</v>
      </c>
      <c r="N231" s="119" t="s">
        <v>4728</v>
      </c>
      <c r="O231" s="119" t="s">
        <v>35</v>
      </c>
      <c r="P231" s="119" t="s">
        <v>4704</v>
      </c>
      <c r="Q231" s="119" t="s">
        <v>3287</v>
      </c>
      <c r="R231" s="119" t="s">
        <v>2985</v>
      </c>
      <c r="S231" s="119" t="s">
        <v>3024</v>
      </c>
      <c r="T231" s="119" t="s">
        <v>35</v>
      </c>
      <c r="U231" s="119" t="s">
        <v>35</v>
      </c>
      <c r="V231" s="119" t="s">
        <v>35</v>
      </c>
      <c r="W231" s="119" t="s">
        <v>35</v>
      </c>
      <c r="X231" s="119" t="s">
        <v>35</v>
      </c>
      <c r="Y231" s="119" t="s">
        <v>35</v>
      </c>
      <c r="Z231" s="119" t="s">
        <v>35</v>
      </c>
      <c r="AA231" s="119" t="s">
        <v>35</v>
      </c>
      <c r="AB231" s="119" t="s">
        <v>35</v>
      </c>
      <c r="AC231" s="119" t="s">
        <v>35</v>
      </c>
      <c r="AD231" s="119" t="s">
        <v>35</v>
      </c>
      <c r="AE231" s="119" t="s">
        <v>35</v>
      </c>
      <c r="AF231" s="119" t="s">
        <v>35</v>
      </c>
      <c r="AG231" s="119" t="s">
        <v>35</v>
      </c>
      <c r="AH231" s="119" t="s">
        <v>35</v>
      </c>
      <c r="AI231" s="119" t="s">
        <v>35</v>
      </c>
      <c r="AJ231" s="119" t="s">
        <v>35</v>
      </c>
    </row>
    <row r="232" spans="1:36" ht="18.75" customHeight="1" x14ac:dyDescent="0.25">
      <c r="A232" s="117" t="s">
        <v>171</v>
      </c>
      <c r="B232" s="119" t="s">
        <v>175</v>
      </c>
      <c r="C232" s="119" t="s">
        <v>174</v>
      </c>
      <c r="D232" s="119" t="s">
        <v>4670</v>
      </c>
      <c r="E232" s="119" t="s">
        <v>3316</v>
      </c>
      <c r="F232" s="119" t="s">
        <v>312</v>
      </c>
      <c r="G232" s="119" t="s">
        <v>312</v>
      </c>
      <c r="H232" s="119" t="s">
        <v>4671</v>
      </c>
      <c r="I232" s="119">
        <v>275</v>
      </c>
      <c r="J232" s="120" t="s">
        <v>35</v>
      </c>
      <c r="K232" s="120" t="s">
        <v>3662</v>
      </c>
      <c r="L232" s="119" t="s">
        <v>4624</v>
      </c>
      <c r="M232" s="119" t="s">
        <v>4729</v>
      </c>
      <c r="N232" s="119" t="s">
        <v>35</v>
      </c>
      <c r="O232" s="119" t="s">
        <v>35</v>
      </c>
      <c r="P232" s="119" t="s">
        <v>35</v>
      </c>
      <c r="Q232" s="119" t="s">
        <v>35</v>
      </c>
      <c r="R232" s="119" t="s">
        <v>35</v>
      </c>
      <c r="S232" s="119" t="s">
        <v>35</v>
      </c>
      <c r="T232" s="119" t="s">
        <v>35</v>
      </c>
      <c r="U232" s="119" t="s">
        <v>35</v>
      </c>
      <c r="V232" s="119" t="s">
        <v>35</v>
      </c>
      <c r="W232" s="119" t="s">
        <v>35</v>
      </c>
      <c r="X232" s="119" t="s">
        <v>35</v>
      </c>
      <c r="Y232" s="119" t="s">
        <v>35</v>
      </c>
      <c r="Z232" s="119" t="s">
        <v>35</v>
      </c>
      <c r="AA232" s="119" t="s">
        <v>35</v>
      </c>
      <c r="AB232" s="119" t="s">
        <v>35</v>
      </c>
      <c r="AC232" s="119" t="s">
        <v>35</v>
      </c>
      <c r="AD232" s="119" t="s">
        <v>35</v>
      </c>
      <c r="AE232" s="119" t="s">
        <v>35</v>
      </c>
      <c r="AF232" s="119" t="s">
        <v>35</v>
      </c>
      <c r="AG232" s="119" t="s">
        <v>35</v>
      </c>
      <c r="AH232" s="119" t="s">
        <v>35</v>
      </c>
      <c r="AI232" s="119" t="s">
        <v>35</v>
      </c>
      <c r="AJ232" s="119" t="s">
        <v>35</v>
      </c>
    </row>
    <row r="233" spans="1:36" ht="18.75" customHeight="1" x14ac:dyDescent="0.25">
      <c r="A233" s="117" t="s">
        <v>171</v>
      </c>
      <c r="B233" s="119" t="s">
        <v>175</v>
      </c>
      <c r="C233" s="119" t="s">
        <v>174</v>
      </c>
      <c r="D233" s="119" t="s">
        <v>4674</v>
      </c>
      <c r="E233" s="119" t="s">
        <v>3316</v>
      </c>
      <c r="F233" s="119" t="s">
        <v>4675</v>
      </c>
      <c r="G233" s="119" t="s">
        <v>3136</v>
      </c>
      <c r="H233" s="119" t="s">
        <v>4676</v>
      </c>
      <c r="I233" s="119">
        <v>22</v>
      </c>
      <c r="J233" s="120" t="s">
        <v>35</v>
      </c>
      <c r="K233" s="120" t="s">
        <v>35</v>
      </c>
      <c r="L233" s="119" t="s">
        <v>3558</v>
      </c>
      <c r="M233" s="119" t="s">
        <v>35</v>
      </c>
      <c r="N233" s="119" t="s">
        <v>35</v>
      </c>
      <c r="O233" s="119">
        <v>3175</v>
      </c>
      <c r="P233" s="119" t="s">
        <v>35</v>
      </c>
      <c r="Q233" s="119" t="s">
        <v>35</v>
      </c>
      <c r="R233" s="119" t="s">
        <v>35</v>
      </c>
      <c r="S233" s="119" t="s">
        <v>35</v>
      </c>
      <c r="T233" s="119" t="s">
        <v>35</v>
      </c>
      <c r="U233" s="119" t="s">
        <v>35</v>
      </c>
      <c r="V233" s="119" t="s">
        <v>35</v>
      </c>
      <c r="W233" s="119" t="s">
        <v>35</v>
      </c>
      <c r="X233" s="119" t="s">
        <v>35</v>
      </c>
      <c r="Y233" s="119" t="s">
        <v>35</v>
      </c>
      <c r="Z233" s="119" t="s">
        <v>35</v>
      </c>
      <c r="AA233" s="119" t="s">
        <v>35</v>
      </c>
      <c r="AB233" s="119" t="s">
        <v>35</v>
      </c>
      <c r="AC233" s="119" t="s">
        <v>35</v>
      </c>
      <c r="AD233" s="119" t="s">
        <v>35</v>
      </c>
      <c r="AE233" s="119" t="s">
        <v>35</v>
      </c>
      <c r="AF233" s="119" t="s">
        <v>35</v>
      </c>
      <c r="AG233" s="119" t="s">
        <v>35</v>
      </c>
      <c r="AH233" s="119" t="s">
        <v>35</v>
      </c>
      <c r="AI233" s="119" t="s">
        <v>35</v>
      </c>
      <c r="AJ233" s="119" t="s">
        <v>35</v>
      </c>
    </row>
    <row r="234" spans="1:36" ht="18.75" customHeight="1" x14ac:dyDescent="0.25">
      <c r="A234" s="117" t="s">
        <v>171</v>
      </c>
      <c r="B234" s="119" t="s">
        <v>175</v>
      </c>
      <c r="C234" s="119" t="s">
        <v>174</v>
      </c>
      <c r="D234" s="119" t="s">
        <v>4677</v>
      </c>
      <c r="E234" s="119" t="s">
        <v>3316</v>
      </c>
      <c r="F234" s="119" t="s">
        <v>312</v>
      </c>
      <c r="G234" s="119" t="s">
        <v>312</v>
      </c>
      <c r="H234" s="119" t="s">
        <v>4678</v>
      </c>
      <c r="I234" s="119">
        <v>126</v>
      </c>
      <c r="J234" s="120" t="s">
        <v>4730</v>
      </c>
      <c r="K234" s="120" t="s">
        <v>35</v>
      </c>
      <c r="L234" s="119" t="s">
        <v>3318</v>
      </c>
      <c r="M234" s="119" t="s">
        <v>4731</v>
      </c>
      <c r="N234" s="119" t="s">
        <v>35</v>
      </c>
      <c r="O234" s="119" t="s">
        <v>35</v>
      </c>
      <c r="P234" s="119" t="s">
        <v>35</v>
      </c>
      <c r="Q234" s="119" t="s">
        <v>35</v>
      </c>
      <c r="R234" s="119" t="s">
        <v>35</v>
      </c>
      <c r="S234" s="119" t="s">
        <v>35</v>
      </c>
      <c r="T234" s="119" t="s">
        <v>35</v>
      </c>
      <c r="U234" s="119" t="s">
        <v>35</v>
      </c>
      <c r="V234" s="119" t="s">
        <v>35</v>
      </c>
      <c r="W234" s="119" t="s">
        <v>35</v>
      </c>
      <c r="X234" s="119" t="s">
        <v>35</v>
      </c>
      <c r="Y234" s="119" t="s">
        <v>35</v>
      </c>
      <c r="Z234" s="119" t="s">
        <v>35</v>
      </c>
      <c r="AA234" s="119" t="s">
        <v>35</v>
      </c>
      <c r="AB234" s="119" t="s">
        <v>35</v>
      </c>
      <c r="AC234" s="119" t="s">
        <v>35</v>
      </c>
      <c r="AD234" s="119" t="s">
        <v>35</v>
      </c>
      <c r="AE234" s="119" t="s">
        <v>35</v>
      </c>
      <c r="AF234" s="119" t="s">
        <v>35</v>
      </c>
      <c r="AG234" s="119" t="s">
        <v>35</v>
      </c>
      <c r="AH234" s="119" t="s">
        <v>35</v>
      </c>
      <c r="AI234" s="119" t="s">
        <v>35</v>
      </c>
      <c r="AJ234" s="119" t="s">
        <v>35</v>
      </c>
    </row>
    <row r="235" spans="1:36" ht="18.75" customHeight="1" x14ac:dyDescent="0.25">
      <c r="A235" s="117" t="s">
        <v>171</v>
      </c>
      <c r="B235" s="119" t="s">
        <v>175</v>
      </c>
      <c r="C235" s="119" t="s">
        <v>174</v>
      </c>
      <c r="D235" s="119" t="s">
        <v>4681</v>
      </c>
      <c r="E235" s="119" t="s">
        <v>3316</v>
      </c>
      <c r="F235" s="119" t="s">
        <v>4682</v>
      </c>
      <c r="G235" s="119" t="s">
        <v>3136</v>
      </c>
      <c r="H235" s="119" t="s">
        <v>4683</v>
      </c>
      <c r="I235" s="119">
        <v>74</v>
      </c>
      <c r="J235" s="120" t="s">
        <v>4732</v>
      </c>
      <c r="K235" s="120" t="s">
        <v>35</v>
      </c>
      <c r="L235" s="119" t="s">
        <v>3318</v>
      </c>
      <c r="M235" s="119" t="s">
        <v>4733</v>
      </c>
      <c r="N235" s="119" t="s">
        <v>35</v>
      </c>
      <c r="O235" s="119" t="s">
        <v>35</v>
      </c>
      <c r="P235" s="119" t="s">
        <v>35</v>
      </c>
      <c r="Q235" s="119" t="s">
        <v>35</v>
      </c>
      <c r="R235" s="119" t="s">
        <v>35</v>
      </c>
      <c r="S235" s="119" t="s">
        <v>35</v>
      </c>
      <c r="T235" s="119" t="s">
        <v>35</v>
      </c>
      <c r="U235" s="119" t="s">
        <v>35</v>
      </c>
      <c r="V235" s="119" t="s">
        <v>35</v>
      </c>
      <c r="W235" s="119" t="s">
        <v>35</v>
      </c>
      <c r="X235" s="119" t="s">
        <v>35</v>
      </c>
      <c r="Y235" s="119" t="s">
        <v>35</v>
      </c>
      <c r="Z235" s="119" t="s">
        <v>35</v>
      </c>
      <c r="AA235" s="119" t="s">
        <v>35</v>
      </c>
      <c r="AB235" s="119" t="s">
        <v>35</v>
      </c>
      <c r="AC235" s="119" t="s">
        <v>35</v>
      </c>
      <c r="AD235" s="119" t="s">
        <v>35</v>
      </c>
      <c r="AE235" s="119" t="s">
        <v>35</v>
      </c>
      <c r="AF235" s="119" t="s">
        <v>35</v>
      </c>
      <c r="AG235" s="119" t="s">
        <v>35</v>
      </c>
      <c r="AH235" s="119" t="s">
        <v>35</v>
      </c>
      <c r="AI235" s="119" t="s">
        <v>35</v>
      </c>
      <c r="AJ235" s="119" t="s">
        <v>35</v>
      </c>
    </row>
    <row r="236" spans="1:36" ht="18.75" customHeight="1" x14ac:dyDescent="0.25">
      <c r="A236" s="117" t="s">
        <v>171</v>
      </c>
      <c r="B236" s="119" t="s">
        <v>175</v>
      </c>
      <c r="C236" s="119" t="s">
        <v>174</v>
      </c>
      <c r="D236" s="119" t="s">
        <v>4685</v>
      </c>
      <c r="E236" s="119" t="s">
        <v>3316</v>
      </c>
      <c r="F236" s="119" t="s">
        <v>312</v>
      </c>
      <c r="G236" s="119" t="s">
        <v>312</v>
      </c>
      <c r="H236" s="119" t="s">
        <v>4686</v>
      </c>
      <c r="I236" s="119">
        <v>130</v>
      </c>
      <c r="J236" s="120" t="s">
        <v>4297</v>
      </c>
      <c r="K236" s="120" t="s">
        <v>35</v>
      </c>
      <c r="L236" s="119" t="s">
        <v>3318</v>
      </c>
      <c r="M236" s="119" t="s">
        <v>4734</v>
      </c>
      <c r="N236" s="119" t="s">
        <v>35</v>
      </c>
      <c r="O236" s="119" t="s">
        <v>35</v>
      </c>
      <c r="P236" s="119" t="s">
        <v>35</v>
      </c>
      <c r="Q236" s="119" t="s">
        <v>35</v>
      </c>
      <c r="R236" s="119" t="s">
        <v>35</v>
      </c>
      <c r="S236" s="119" t="s">
        <v>35</v>
      </c>
      <c r="T236" s="119" t="s">
        <v>35</v>
      </c>
      <c r="U236" s="119" t="s">
        <v>35</v>
      </c>
      <c r="V236" s="119" t="s">
        <v>35</v>
      </c>
      <c r="W236" s="119" t="s">
        <v>35</v>
      </c>
      <c r="X236" s="119" t="s">
        <v>35</v>
      </c>
      <c r="Y236" s="119" t="s">
        <v>35</v>
      </c>
      <c r="Z236" s="119" t="s">
        <v>35</v>
      </c>
      <c r="AA236" s="119" t="s">
        <v>35</v>
      </c>
      <c r="AB236" s="119" t="s">
        <v>35</v>
      </c>
      <c r="AC236" s="119" t="s">
        <v>35</v>
      </c>
      <c r="AD236" s="119" t="s">
        <v>35</v>
      </c>
      <c r="AE236" s="119" t="s">
        <v>35</v>
      </c>
      <c r="AF236" s="119" t="s">
        <v>35</v>
      </c>
      <c r="AG236" s="119" t="s">
        <v>35</v>
      </c>
      <c r="AH236" s="119" t="s">
        <v>35</v>
      </c>
      <c r="AI236" s="119" t="s">
        <v>35</v>
      </c>
      <c r="AJ236" s="119" t="s">
        <v>35</v>
      </c>
    </row>
    <row r="237" spans="1:36" ht="18.75" customHeight="1" x14ac:dyDescent="0.25">
      <c r="A237" s="118" t="s">
        <v>206</v>
      </c>
      <c r="B237" s="807" t="s">
        <v>205</v>
      </c>
      <c r="C237" s="807" t="s">
        <v>204</v>
      </c>
      <c r="D237" s="807" t="s">
        <v>4735</v>
      </c>
      <c r="E237" s="807" t="s">
        <v>2977</v>
      </c>
      <c r="F237" s="807" t="s">
        <v>4736</v>
      </c>
      <c r="G237" s="807" t="s">
        <v>4353</v>
      </c>
      <c r="H237" s="807" t="s">
        <v>4737</v>
      </c>
      <c r="I237" s="807">
        <v>236</v>
      </c>
      <c r="J237" s="124" t="s">
        <v>4732</v>
      </c>
      <c r="K237" s="124" t="s">
        <v>35</v>
      </c>
      <c r="L237" s="807" t="s">
        <v>2980</v>
      </c>
      <c r="M237" s="807" t="s">
        <v>4738</v>
      </c>
      <c r="N237" s="807" t="s">
        <v>4739</v>
      </c>
      <c r="O237" s="807" t="s">
        <v>35</v>
      </c>
      <c r="P237" s="807" t="s">
        <v>4740</v>
      </c>
      <c r="Q237" s="807" t="s">
        <v>4741</v>
      </c>
      <c r="R237" s="807" t="s">
        <v>7</v>
      </c>
      <c r="S237" s="807" t="s">
        <v>3024</v>
      </c>
      <c r="T237" s="807" t="s">
        <v>4742</v>
      </c>
      <c r="U237" s="807" t="s">
        <v>4743</v>
      </c>
      <c r="V237" s="807" t="s">
        <v>4744</v>
      </c>
      <c r="W237" s="807" t="s">
        <v>4745</v>
      </c>
      <c r="X237" s="807" t="s">
        <v>4746</v>
      </c>
      <c r="Y237" s="807" t="s">
        <v>4747</v>
      </c>
      <c r="Z237" s="807" t="s">
        <v>4748</v>
      </c>
      <c r="AA237" s="807" t="s">
        <v>4749</v>
      </c>
      <c r="AB237" s="807" t="s">
        <v>4750</v>
      </c>
      <c r="AC237" s="807" t="s">
        <v>4751</v>
      </c>
      <c r="AD237" s="807" t="s">
        <v>4752</v>
      </c>
      <c r="AE237" s="807" t="s">
        <v>4753</v>
      </c>
      <c r="AF237" s="807" t="s">
        <v>4754</v>
      </c>
      <c r="AG237" s="807" t="s">
        <v>4755</v>
      </c>
      <c r="AH237" s="807" t="s">
        <v>4756</v>
      </c>
      <c r="AI237" s="807" t="s">
        <v>4757</v>
      </c>
      <c r="AJ237" s="807" t="s">
        <v>4758</v>
      </c>
    </row>
    <row r="238" spans="1:36" ht="18.75" customHeight="1" x14ac:dyDescent="0.25">
      <c r="A238" s="118" t="s">
        <v>206</v>
      </c>
      <c r="B238" s="807" t="s">
        <v>205</v>
      </c>
      <c r="C238" s="807" t="s">
        <v>204</v>
      </c>
      <c r="D238" s="807" t="s">
        <v>4759</v>
      </c>
      <c r="E238" s="807" t="s">
        <v>2977</v>
      </c>
      <c r="F238" s="807" t="s">
        <v>312</v>
      </c>
      <c r="G238" s="807" t="s">
        <v>312</v>
      </c>
      <c r="H238" s="807" t="s">
        <v>4760</v>
      </c>
      <c r="I238" s="807">
        <v>232</v>
      </c>
      <c r="J238" s="124" t="s">
        <v>3019</v>
      </c>
      <c r="K238" s="124" t="s">
        <v>35</v>
      </c>
      <c r="L238" s="807" t="s">
        <v>2980</v>
      </c>
      <c r="M238" s="807" t="s">
        <v>4738</v>
      </c>
      <c r="N238" s="807" t="s">
        <v>4739</v>
      </c>
      <c r="O238" s="807" t="s">
        <v>35</v>
      </c>
      <c r="P238" s="807" t="s">
        <v>4761</v>
      </c>
      <c r="Q238" s="807" t="s">
        <v>4762</v>
      </c>
      <c r="R238" s="807" t="s">
        <v>7</v>
      </c>
      <c r="S238" s="807" t="s">
        <v>3024</v>
      </c>
      <c r="T238" s="807" t="s">
        <v>35</v>
      </c>
      <c r="U238" s="807" t="s">
        <v>35</v>
      </c>
      <c r="V238" s="807" t="s">
        <v>35</v>
      </c>
      <c r="W238" s="807" t="s">
        <v>35</v>
      </c>
      <c r="X238" s="807" t="s">
        <v>35</v>
      </c>
      <c r="Y238" s="807" t="s">
        <v>35</v>
      </c>
      <c r="Z238" s="807" t="s">
        <v>35</v>
      </c>
      <c r="AA238" s="807" t="s">
        <v>35</v>
      </c>
      <c r="AB238" s="807" t="s">
        <v>35</v>
      </c>
      <c r="AC238" s="807" t="s">
        <v>35</v>
      </c>
      <c r="AD238" s="807" t="s">
        <v>35</v>
      </c>
      <c r="AE238" s="807" t="s">
        <v>35</v>
      </c>
      <c r="AF238" s="807" t="s">
        <v>35</v>
      </c>
      <c r="AG238" s="807" t="s">
        <v>35</v>
      </c>
      <c r="AH238" s="807" t="s">
        <v>35</v>
      </c>
      <c r="AI238" s="807" t="s">
        <v>35</v>
      </c>
      <c r="AJ238" s="807" t="s">
        <v>35</v>
      </c>
    </row>
    <row r="239" spans="1:36" ht="18.75" customHeight="1" x14ac:dyDescent="0.25">
      <c r="A239" s="118" t="s">
        <v>206</v>
      </c>
      <c r="B239" s="807" t="s">
        <v>205</v>
      </c>
      <c r="C239" s="807" t="s">
        <v>204</v>
      </c>
      <c r="D239" s="807" t="s">
        <v>4763</v>
      </c>
      <c r="E239" s="807" t="s">
        <v>2977</v>
      </c>
      <c r="F239" s="807" t="s">
        <v>4764</v>
      </c>
      <c r="G239" s="807" t="s">
        <v>3136</v>
      </c>
      <c r="H239" s="807" t="s">
        <v>4765</v>
      </c>
      <c r="I239" s="807">
        <v>199</v>
      </c>
      <c r="J239" s="124" t="s">
        <v>4732</v>
      </c>
      <c r="K239" s="124" t="s">
        <v>35</v>
      </c>
      <c r="L239" s="807" t="s">
        <v>2980</v>
      </c>
      <c r="M239" s="807" t="s">
        <v>4766</v>
      </c>
      <c r="N239" s="807" t="s">
        <v>4767</v>
      </c>
      <c r="O239" s="807" t="s">
        <v>35</v>
      </c>
      <c r="P239" s="807" t="s">
        <v>4768</v>
      </c>
      <c r="Q239" s="807" t="s">
        <v>3823</v>
      </c>
      <c r="R239" s="807" t="s">
        <v>7</v>
      </c>
      <c r="S239" s="807" t="s">
        <v>3024</v>
      </c>
      <c r="T239" s="807" t="s">
        <v>35</v>
      </c>
      <c r="U239" s="807" t="s">
        <v>35</v>
      </c>
      <c r="V239" s="807" t="s">
        <v>35</v>
      </c>
      <c r="W239" s="807" t="s">
        <v>35</v>
      </c>
      <c r="X239" s="807" t="s">
        <v>35</v>
      </c>
      <c r="Y239" s="807" t="s">
        <v>35</v>
      </c>
      <c r="Z239" s="807" t="s">
        <v>35</v>
      </c>
      <c r="AA239" s="807" t="s">
        <v>35</v>
      </c>
      <c r="AB239" s="807" t="s">
        <v>35</v>
      </c>
      <c r="AC239" s="807" t="s">
        <v>35</v>
      </c>
      <c r="AD239" s="807" t="s">
        <v>35</v>
      </c>
      <c r="AE239" s="807" t="s">
        <v>35</v>
      </c>
      <c r="AF239" s="807" t="s">
        <v>35</v>
      </c>
      <c r="AG239" s="807" t="s">
        <v>35</v>
      </c>
      <c r="AH239" s="807" t="s">
        <v>35</v>
      </c>
      <c r="AI239" s="807" t="s">
        <v>35</v>
      </c>
      <c r="AJ239" s="807" t="s">
        <v>35</v>
      </c>
    </row>
    <row r="240" spans="1:36" ht="18.75" customHeight="1" x14ac:dyDescent="0.25">
      <c r="A240" s="118" t="s">
        <v>206</v>
      </c>
      <c r="B240" s="807" t="s">
        <v>205</v>
      </c>
      <c r="C240" s="807" t="s">
        <v>204</v>
      </c>
      <c r="D240" s="807" t="s">
        <v>4769</v>
      </c>
      <c r="E240" s="807" t="s">
        <v>2977</v>
      </c>
      <c r="F240" s="807" t="s">
        <v>4770</v>
      </c>
      <c r="G240" s="807" t="s">
        <v>3266</v>
      </c>
      <c r="H240" s="807" t="s">
        <v>4771</v>
      </c>
      <c r="I240" s="807">
        <v>199</v>
      </c>
      <c r="J240" s="124" t="s">
        <v>4732</v>
      </c>
      <c r="K240" s="124" t="s">
        <v>35</v>
      </c>
      <c r="L240" s="807" t="s">
        <v>2980</v>
      </c>
      <c r="M240" s="807" t="s">
        <v>4766</v>
      </c>
      <c r="N240" s="807" t="s">
        <v>4767</v>
      </c>
      <c r="O240" s="807" t="s">
        <v>35</v>
      </c>
      <c r="P240" s="807" t="s">
        <v>4768</v>
      </c>
      <c r="Q240" s="807" t="s">
        <v>3823</v>
      </c>
      <c r="R240" s="807" t="s">
        <v>7</v>
      </c>
      <c r="S240" s="807" t="s">
        <v>3024</v>
      </c>
      <c r="T240" s="807" t="s">
        <v>35</v>
      </c>
      <c r="U240" s="807" t="s">
        <v>35</v>
      </c>
      <c r="V240" s="807" t="s">
        <v>35</v>
      </c>
      <c r="W240" s="807" t="s">
        <v>35</v>
      </c>
      <c r="X240" s="807" t="s">
        <v>35</v>
      </c>
      <c r="Y240" s="807" t="s">
        <v>35</v>
      </c>
      <c r="Z240" s="807" t="s">
        <v>35</v>
      </c>
      <c r="AA240" s="807" t="s">
        <v>35</v>
      </c>
      <c r="AB240" s="807" t="s">
        <v>35</v>
      </c>
      <c r="AC240" s="807" t="s">
        <v>35</v>
      </c>
      <c r="AD240" s="807" t="s">
        <v>35</v>
      </c>
      <c r="AE240" s="807" t="s">
        <v>35</v>
      </c>
      <c r="AF240" s="807" t="s">
        <v>35</v>
      </c>
      <c r="AG240" s="807" t="s">
        <v>35</v>
      </c>
      <c r="AH240" s="807" t="s">
        <v>35</v>
      </c>
      <c r="AI240" s="807" t="s">
        <v>35</v>
      </c>
      <c r="AJ240" s="807" t="s">
        <v>35</v>
      </c>
    </row>
    <row r="241" spans="1:36" ht="18.75" customHeight="1" x14ac:dyDescent="0.25">
      <c r="A241" s="118" t="s">
        <v>206</v>
      </c>
      <c r="B241" s="807" t="s">
        <v>205</v>
      </c>
      <c r="C241" s="807" t="s">
        <v>204</v>
      </c>
      <c r="D241" s="807" t="s">
        <v>4772</v>
      </c>
      <c r="E241" s="807" t="s">
        <v>2977</v>
      </c>
      <c r="F241" s="807" t="s">
        <v>4001</v>
      </c>
      <c r="G241" s="807" t="s">
        <v>3148</v>
      </c>
      <c r="H241" s="807" t="s">
        <v>4773</v>
      </c>
      <c r="I241" s="807">
        <v>211</v>
      </c>
      <c r="J241" s="124" t="s">
        <v>3019</v>
      </c>
      <c r="K241" s="124" t="s">
        <v>35</v>
      </c>
      <c r="L241" s="807" t="s">
        <v>2980</v>
      </c>
      <c r="M241" s="807" t="s">
        <v>4774</v>
      </c>
      <c r="N241" s="807" t="s">
        <v>4775</v>
      </c>
      <c r="O241" s="807" t="s">
        <v>35</v>
      </c>
      <c r="P241" s="807" t="s">
        <v>4776</v>
      </c>
      <c r="Q241" s="807" t="s">
        <v>4762</v>
      </c>
      <c r="R241" s="807" t="s">
        <v>7</v>
      </c>
      <c r="S241" s="807" t="s">
        <v>3024</v>
      </c>
      <c r="T241" s="807" t="s">
        <v>35</v>
      </c>
      <c r="U241" s="807" t="s">
        <v>35</v>
      </c>
      <c r="V241" s="807" t="s">
        <v>35</v>
      </c>
      <c r="W241" s="807" t="s">
        <v>35</v>
      </c>
      <c r="X241" s="807" t="s">
        <v>35</v>
      </c>
      <c r="Y241" s="807" t="s">
        <v>35</v>
      </c>
      <c r="Z241" s="807" t="s">
        <v>35</v>
      </c>
      <c r="AA241" s="807" t="s">
        <v>35</v>
      </c>
      <c r="AB241" s="807" t="s">
        <v>35</v>
      </c>
      <c r="AC241" s="807" t="s">
        <v>35</v>
      </c>
      <c r="AD241" s="807" t="s">
        <v>35</v>
      </c>
      <c r="AE241" s="807" t="s">
        <v>35</v>
      </c>
      <c r="AF241" s="807" t="s">
        <v>35</v>
      </c>
      <c r="AG241" s="807" t="s">
        <v>35</v>
      </c>
      <c r="AH241" s="807" t="s">
        <v>35</v>
      </c>
      <c r="AI241" s="807" t="s">
        <v>35</v>
      </c>
      <c r="AJ241" s="807" t="s">
        <v>35</v>
      </c>
    </row>
    <row r="242" spans="1:36" ht="18.75" customHeight="1" x14ac:dyDescent="0.25">
      <c r="A242" s="118" t="s">
        <v>206</v>
      </c>
      <c r="B242" s="807" t="s">
        <v>205</v>
      </c>
      <c r="C242" s="807" t="s">
        <v>204</v>
      </c>
      <c r="D242" s="807" t="s">
        <v>4777</v>
      </c>
      <c r="E242" s="807" t="s">
        <v>3316</v>
      </c>
      <c r="F242" s="807" t="s">
        <v>312</v>
      </c>
      <c r="G242" s="807" t="s">
        <v>312</v>
      </c>
      <c r="H242" s="807" t="s">
        <v>4778</v>
      </c>
      <c r="I242" s="807">
        <v>97</v>
      </c>
      <c r="J242" s="124" t="s">
        <v>3078</v>
      </c>
      <c r="K242" s="124" t="s">
        <v>35</v>
      </c>
      <c r="L242" s="807" t="s">
        <v>3318</v>
      </c>
      <c r="M242" s="807" t="s">
        <v>4779</v>
      </c>
      <c r="N242" s="807" t="s">
        <v>35</v>
      </c>
      <c r="O242" s="807" t="s">
        <v>35</v>
      </c>
      <c r="P242" s="807" t="s">
        <v>35</v>
      </c>
      <c r="Q242" s="807" t="s">
        <v>35</v>
      </c>
      <c r="R242" s="807" t="s">
        <v>35</v>
      </c>
      <c r="S242" s="807" t="s">
        <v>35</v>
      </c>
      <c r="T242" s="807" t="s">
        <v>35</v>
      </c>
      <c r="U242" s="807" t="s">
        <v>35</v>
      </c>
      <c r="V242" s="807" t="s">
        <v>35</v>
      </c>
      <c r="W242" s="807" t="s">
        <v>35</v>
      </c>
      <c r="X242" s="807" t="s">
        <v>35</v>
      </c>
      <c r="Y242" s="807" t="s">
        <v>35</v>
      </c>
      <c r="Z242" s="807" t="s">
        <v>35</v>
      </c>
      <c r="AA242" s="807" t="s">
        <v>35</v>
      </c>
      <c r="AB242" s="807" t="s">
        <v>35</v>
      </c>
      <c r="AC242" s="807" t="s">
        <v>35</v>
      </c>
      <c r="AD242" s="807" t="s">
        <v>35</v>
      </c>
      <c r="AE242" s="807" t="s">
        <v>35</v>
      </c>
      <c r="AF242" s="807" t="s">
        <v>35</v>
      </c>
      <c r="AG242" s="807" t="s">
        <v>35</v>
      </c>
      <c r="AH242" s="807" t="s">
        <v>35</v>
      </c>
      <c r="AI242" s="807" t="s">
        <v>35</v>
      </c>
      <c r="AJ242" s="807" t="s">
        <v>35</v>
      </c>
    </row>
    <row r="243" spans="1:36" ht="18.75" customHeight="1" x14ac:dyDescent="0.25">
      <c r="A243" s="118" t="s">
        <v>206</v>
      </c>
      <c r="B243" s="807" t="s">
        <v>205</v>
      </c>
      <c r="C243" s="807" t="s">
        <v>204</v>
      </c>
      <c r="D243" s="807" t="s">
        <v>4780</v>
      </c>
      <c r="E243" s="807" t="s">
        <v>3316</v>
      </c>
      <c r="F243" s="807" t="s">
        <v>4781</v>
      </c>
      <c r="G243" s="807" t="s">
        <v>3266</v>
      </c>
      <c r="H243" s="807" t="s">
        <v>4782</v>
      </c>
      <c r="I243" s="807">
        <v>79</v>
      </c>
      <c r="J243" s="124" t="s">
        <v>35</v>
      </c>
      <c r="K243" s="124" t="s">
        <v>3417</v>
      </c>
      <c r="L243" s="807" t="s">
        <v>4624</v>
      </c>
      <c r="M243" s="807" t="s">
        <v>4783</v>
      </c>
      <c r="N243" s="807" t="s">
        <v>35</v>
      </c>
      <c r="O243" s="807" t="s">
        <v>35</v>
      </c>
      <c r="P243" s="807" t="s">
        <v>35</v>
      </c>
      <c r="Q243" s="807" t="s">
        <v>35</v>
      </c>
      <c r="R243" s="807" t="s">
        <v>35</v>
      </c>
      <c r="S243" s="807" t="s">
        <v>35</v>
      </c>
      <c r="T243" s="807" t="s">
        <v>35</v>
      </c>
      <c r="U243" s="807" t="s">
        <v>35</v>
      </c>
      <c r="V243" s="807" t="s">
        <v>35</v>
      </c>
      <c r="W243" s="807" t="s">
        <v>35</v>
      </c>
      <c r="X243" s="807" t="s">
        <v>35</v>
      </c>
      <c r="Y243" s="807" t="s">
        <v>35</v>
      </c>
      <c r="Z243" s="807" t="s">
        <v>35</v>
      </c>
      <c r="AA243" s="807" t="s">
        <v>35</v>
      </c>
      <c r="AB243" s="807" t="s">
        <v>35</v>
      </c>
      <c r="AC243" s="807" t="s">
        <v>35</v>
      </c>
      <c r="AD243" s="807" t="s">
        <v>35</v>
      </c>
      <c r="AE243" s="807" t="s">
        <v>35</v>
      </c>
      <c r="AF243" s="807" t="s">
        <v>35</v>
      </c>
      <c r="AG243" s="807" t="s">
        <v>35</v>
      </c>
      <c r="AH243" s="807" t="s">
        <v>35</v>
      </c>
      <c r="AI243" s="807" t="s">
        <v>35</v>
      </c>
      <c r="AJ243" s="807" t="s">
        <v>35</v>
      </c>
    </row>
    <row r="244" spans="1:36" ht="18.75" customHeight="1" x14ac:dyDescent="0.25">
      <c r="A244" s="117" t="s">
        <v>262</v>
      </c>
      <c r="B244" s="119" t="s">
        <v>261</v>
      </c>
      <c r="C244" s="119" t="s">
        <v>260</v>
      </c>
      <c r="D244" s="119" t="s">
        <v>4784</v>
      </c>
      <c r="E244" s="119" t="s">
        <v>2977</v>
      </c>
      <c r="F244" s="119" t="s">
        <v>3451</v>
      </c>
      <c r="G244" s="119" t="s">
        <v>3276</v>
      </c>
      <c r="H244" s="119" t="s">
        <v>4785</v>
      </c>
      <c r="I244" s="119">
        <v>406</v>
      </c>
      <c r="J244" s="120" t="s">
        <v>4786</v>
      </c>
      <c r="K244" s="120" t="s">
        <v>35</v>
      </c>
      <c r="L244" s="119" t="s">
        <v>2980</v>
      </c>
      <c r="M244" s="119" t="s">
        <v>4787</v>
      </c>
      <c r="N244" s="119" t="s">
        <v>4788</v>
      </c>
      <c r="O244" s="119" t="s">
        <v>35</v>
      </c>
      <c r="P244" s="119" t="s">
        <v>3705</v>
      </c>
      <c r="Q244" s="119" t="s">
        <v>3324</v>
      </c>
      <c r="R244" s="119" t="s">
        <v>3788</v>
      </c>
      <c r="S244" s="119" t="s">
        <v>2985</v>
      </c>
      <c r="T244" s="119" t="s">
        <v>4789</v>
      </c>
      <c r="U244" s="119" t="s">
        <v>4790</v>
      </c>
      <c r="V244" s="119" t="s">
        <v>4791</v>
      </c>
      <c r="W244" s="119" t="s">
        <v>3770</v>
      </c>
      <c r="X244" s="119" t="s">
        <v>4336</v>
      </c>
      <c r="Y244" s="119" t="s">
        <v>3770</v>
      </c>
      <c r="Z244" s="119" t="s">
        <v>35</v>
      </c>
      <c r="AA244" s="119" t="s">
        <v>35</v>
      </c>
      <c r="AB244" s="119" t="s">
        <v>4792</v>
      </c>
      <c r="AC244" s="119" t="s">
        <v>4793</v>
      </c>
      <c r="AD244" s="119" t="s">
        <v>4794</v>
      </c>
      <c r="AE244" s="119" t="s">
        <v>4795</v>
      </c>
      <c r="AF244" s="119" t="s">
        <v>3778</v>
      </c>
      <c r="AG244" s="119" t="s">
        <v>4796</v>
      </c>
      <c r="AH244" s="119" t="s">
        <v>4797</v>
      </c>
      <c r="AI244" s="119" t="s">
        <v>4798</v>
      </c>
      <c r="AJ244" s="119" t="s">
        <v>4799</v>
      </c>
    </row>
    <row r="245" spans="1:36" ht="18.75" customHeight="1" x14ac:dyDescent="0.25">
      <c r="A245" s="117" t="s">
        <v>262</v>
      </c>
      <c r="B245" s="119" t="s">
        <v>261</v>
      </c>
      <c r="C245" s="119" t="s">
        <v>260</v>
      </c>
      <c r="D245" s="119" t="s">
        <v>4800</v>
      </c>
      <c r="E245" s="119" t="s">
        <v>2977</v>
      </c>
      <c r="F245" s="119" t="s">
        <v>4801</v>
      </c>
      <c r="G245" s="119" t="s">
        <v>3148</v>
      </c>
      <c r="H245" s="119" t="s">
        <v>4802</v>
      </c>
      <c r="I245" s="119">
        <v>368</v>
      </c>
      <c r="J245" s="120" t="s">
        <v>4803</v>
      </c>
      <c r="K245" s="120" t="s">
        <v>35</v>
      </c>
      <c r="L245" s="119" t="s">
        <v>2980</v>
      </c>
      <c r="M245" s="119" t="s">
        <v>4787</v>
      </c>
      <c r="N245" s="119" t="s">
        <v>4788</v>
      </c>
      <c r="O245" s="119" t="s">
        <v>35</v>
      </c>
      <c r="P245" s="119" t="s">
        <v>3705</v>
      </c>
      <c r="Q245" s="119" t="s">
        <v>4804</v>
      </c>
      <c r="R245" s="119" t="s">
        <v>3788</v>
      </c>
      <c r="S245" s="119" t="s">
        <v>2985</v>
      </c>
      <c r="T245" s="119" t="s">
        <v>35</v>
      </c>
      <c r="U245" s="119" t="s">
        <v>35</v>
      </c>
      <c r="V245" s="119" t="s">
        <v>35</v>
      </c>
      <c r="W245" s="119" t="s">
        <v>35</v>
      </c>
      <c r="X245" s="119" t="s">
        <v>35</v>
      </c>
      <c r="Y245" s="119" t="s">
        <v>35</v>
      </c>
      <c r="Z245" s="119" t="s">
        <v>35</v>
      </c>
      <c r="AA245" s="119" t="s">
        <v>35</v>
      </c>
      <c r="AB245" s="119" t="s">
        <v>35</v>
      </c>
      <c r="AC245" s="119" t="s">
        <v>35</v>
      </c>
      <c r="AD245" s="119" t="s">
        <v>35</v>
      </c>
      <c r="AE245" s="119" t="s">
        <v>35</v>
      </c>
      <c r="AF245" s="119" t="s">
        <v>35</v>
      </c>
      <c r="AG245" s="119" t="s">
        <v>35</v>
      </c>
      <c r="AH245" s="119" t="s">
        <v>35</v>
      </c>
      <c r="AI245" s="119" t="s">
        <v>35</v>
      </c>
      <c r="AJ245" s="119" t="s">
        <v>35</v>
      </c>
    </row>
    <row r="246" spans="1:36" ht="18.75" customHeight="1" x14ac:dyDescent="0.25">
      <c r="A246" s="117" t="s">
        <v>262</v>
      </c>
      <c r="B246" s="119" t="s">
        <v>261</v>
      </c>
      <c r="C246" s="119" t="s">
        <v>260</v>
      </c>
      <c r="D246" s="119" t="s">
        <v>4805</v>
      </c>
      <c r="E246" s="119" t="s">
        <v>3316</v>
      </c>
      <c r="F246" s="119" t="s">
        <v>4770</v>
      </c>
      <c r="G246" s="119" t="s">
        <v>3148</v>
      </c>
      <c r="H246" s="119" t="s">
        <v>4806</v>
      </c>
      <c r="I246" s="119">
        <v>406</v>
      </c>
      <c r="J246" s="120" t="s">
        <v>4619</v>
      </c>
      <c r="K246" s="120" t="s">
        <v>35</v>
      </c>
      <c r="L246" s="119" t="s">
        <v>3459</v>
      </c>
      <c r="M246" s="119" t="s">
        <v>4787</v>
      </c>
      <c r="N246" s="119" t="s">
        <v>4788</v>
      </c>
      <c r="O246" s="119" t="s">
        <v>35</v>
      </c>
      <c r="P246" s="119" t="s">
        <v>3705</v>
      </c>
      <c r="Q246" s="119" t="s">
        <v>3324</v>
      </c>
      <c r="R246" s="119" t="s">
        <v>3788</v>
      </c>
      <c r="S246" s="119" t="s">
        <v>2985</v>
      </c>
      <c r="T246" s="119" t="s">
        <v>35</v>
      </c>
      <c r="U246" s="119" t="s">
        <v>35</v>
      </c>
      <c r="V246" s="119" t="s">
        <v>35</v>
      </c>
      <c r="W246" s="119" t="s">
        <v>35</v>
      </c>
      <c r="X246" s="119" t="s">
        <v>35</v>
      </c>
      <c r="Y246" s="119" t="s">
        <v>35</v>
      </c>
      <c r="Z246" s="119" t="s">
        <v>35</v>
      </c>
      <c r="AA246" s="119" t="s">
        <v>35</v>
      </c>
      <c r="AB246" s="119" t="s">
        <v>35</v>
      </c>
      <c r="AC246" s="119" t="s">
        <v>35</v>
      </c>
      <c r="AD246" s="119" t="s">
        <v>35</v>
      </c>
      <c r="AE246" s="119" t="s">
        <v>35</v>
      </c>
      <c r="AF246" s="119" t="s">
        <v>35</v>
      </c>
      <c r="AG246" s="119" t="s">
        <v>35</v>
      </c>
      <c r="AH246" s="119" t="s">
        <v>35</v>
      </c>
      <c r="AI246" s="119" t="s">
        <v>35</v>
      </c>
      <c r="AJ246" s="119" t="s">
        <v>35</v>
      </c>
    </row>
    <row r="247" spans="1:36" ht="18.75" customHeight="1" x14ac:dyDescent="0.25">
      <c r="A247" s="117" t="s">
        <v>262</v>
      </c>
      <c r="B247" s="119" t="s">
        <v>261</v>
      </c>
      <c r="C247" s="119" t="s">
        <v>260</v>
      </c>
      <c r="D247" s="119" t="s">
        <v>4807</v>
      </c>
      <c r="E247" s="119" t="s">
        <v>2977</v>
      </c>
      <c r="F247" s="119" t="s">
        <v>312</v>
      </c>
      <c r="G247" s="119" t="s">
        <v>312</v>
      </c>
      <c r="H247" s="119" t="s">
        <v>4808</v>
      </c>
      <c r="I247" s="119">
        <v>129</v>
      </c>
      <c r="J247" s="120" t="s">
        <v>4623</v>
      </c>
      <c r="K247" s="120" t="s">
        <v>35</v>
      </c>
      <c r="L247" s="119" t="s">
        <v>2980</v>
      </c>
      <c r="M247" s="119" t="s">
        <v>4809</v>
      </c>
      <c r="N247" s="119" t="s">
        <v>4810</v>
      </c>
      <c r="O247" s="119" t="s">
        <v>35</v>
      </c>
      <c r="P247" s="119" t="s">
        <v>3705</v>
      </c>
      <c r="Q247" s="119" t="s">
        <v>3287</v>
      </c>
      <c r="R247" s="119" t="s">
        <v>3788</v>
      </c>
      <c r="S247" s="119" t="s">
        <v>35</v>
      </c>
      <c r="T247" s="119" t="s">
        <v>35</v>
      </c>
      <c r="U247" s="119" t="s">
        <v>35</v>
      </c>
      <c r="V247" s="119" t="s">
        <v>35</v>
      </c>
      <c r="W247" s="119" t="s">
        <v>35</v>
      </c>
      <c r="X247" s="119" t="s">
        <v>35</v>
      </c>
      <c r="Y247" s="119" t="s">
        <v>35</v>
      </c>
      <c r="Z247" s="119" t="s">
        <v>35</v>
      </c>
      <c r="AA247" s="119" t="s">
        <v>35</v>
      </c>
      <c r="AB247" s="119" t="s">
        <v>35</v>
      </c>
      <c r="AC247" s="119" t="s">
        <v>35</v>
      </c>
      <c r="AD247" s="119" t="s">
        <v>35</v>
      </c>
      <c r="AE247" s="119" t="s">
        <v>35</v>
      </c>
      <c r="AF247" s="119" t="s">
        <v>35</v>
      </c>
      <c r="AG247" s="119" t="s">
        <v>35</v>
      </c>
      <c r="AH247" s="119" t="s">
        <v>35</v>
      </c>
      <c r="AI247" s="119" t="s">
        <v>35</v>
      </c>
      <c r="AJ247" s="119" t="s">
        <v>35</v>
      </c>
    </row>
    <row r="248" spans="1:36" ht="18.75" customHeight="1" x14ac:dyDescent="0.25">
      <c r="A248" s="117" t="s">
        <v>262</v>
      </c>
      <c r="B248" s="119" t="s">
        <v>261</v>
      </c>
      <c r="C248" s="119" t="s">
        <v>260</v>
      </c>
      <c r="D248" s="119" t="s">
        <v>4811</v>
      </c>
      <c r="E248" s="119" t="s">
        <v>3316</v>
      </c>
      <c r="F248" s="119" t="s">
        <v>312</v>
      </c>
      <c r="G248" s="119" t="s">
        <v>312</v>
      </c>
      <c r="H248" s="119" t="s">
        <v>4812</v>
      </c>
      <c r="I248" s="119">
        <v>128</v>
      </c>
      <c r="J248" s="120" t="s">
        <v>4619</v>
      </c>
      <c r="K248" s="120" t="s">
        <v>35</v>
      </c>
      <c r="L248" s="119" t="s">
        <v>3459</v>
      </c>
      <c r="M248" s="119" t="s">
        <v>4787</v>
      </c>
      <c r="N248" s="119" t="s">
        <v>4788</v>
      </c>
      <c r="O248" s="119" t="s">
        <v>35</v>
      </c>
      <c r="P248" s="119" t="s">
        <v>2983</v>
      </c>
      <c r="Q248" s="119" t="s">
        <v>4813</v>
      </c>
      <c r="R248" s="119" t="s">
        <v>3788</v>
      </c>
      <c r="S248" s="119" t="s">
        <v>2985</v>
      </c>
      <c r="T248" s="119" t="s">
        <v>35</v>
      </c>
      <c r="U248" s="119" t="s">
        <v>35</v>
      </c>
      <c r="V248" s="119" t="s">
        <v>35</v>
      </c>
      <c r="W248" s="119" t="s">
        <v>35</v>
      </c>
      <c r="X248" s="119" t="s">
        <v>35</v>
      </c>
      <c r="Y248" s="119" t="s">
        <v>35</v>
      </c>
      <c r="Z248" s="119" t="s">
        <v>35</v>
      </c>
      <c r="AA248" s="119" t="s">
        <v>35</v>
      </c>
      <c r="AB248" s="119" t="s">
        <v>35</v>
      </c>
      <c r="AC248" s="119" t="s">
        <v>35</v>
      </c>
      <c r="AD248" s="119" t="s">
        <v>35</v>
      </c>
      <c r="AE248" s="119" t="s">
        <v>35</v>
      </c>
      <c r="AF248" s="119" t="s">
        <v>35</v>
      </c>
      <c r="AG248" s="119" t="s">
        <v>35</v>
      </c>
      <c r="AH248" s="119" t="s">
        <v>35</v>
      </c>
      <c r="AI248" s="119" t="s">
        <v>35</v>
      </c>
      <c r="AJ248" s="119" t="s">
        <v>35</v>
      </c>
    </row>
    <row r="249" spans="1:36" ht="18.75" customHeight="1" x14ac:dyDescent="0.25">
      <c r="A249" s="117" t="s">
        <v>262</v>
      </c>
      <c r="B249" s="119" t="s">
        <v>261</v>
      </c>
      <c r="C249" s="119" t="s">
        <v>260</v>
      </c>
      <c r="D249" s="119" t="s">
        <v>4814</v>
      </c>
      <c r="E249" s="119" t="s">
        <v>2977</v>
      </c>
      <c r="F249" s="119">
        <v>0</v>
      </c>
      <c r="G249" s="119" t="s">
        <v>35</v>
      </c>
      <c r="H249" s="119" t="s">
        <v>4815</v>
      </c>
      <c r="I249" s="119">
        <v>104</v>
      </c>
      <c r="J249" s="120" t="s">
        <v>3308</v>
      </c>
      <c r="K249" s="120" t="s">
        <v>35</v>
      </c>
      <c r="L249" s="119" t="s">
        <v>2980</v>
      </c>
      <c r="M249" s="119" t="s">
        <v>4787</v>
      </c>
      <c r="N249" s="119" t="s">
        <v>4788</v>
      </c>
      <c r="O249" s="119" t="s">
        <v>35</v>
      </c>
      <c r="P249" s="119" t="s">
        <v>3705</v>
      </c>
      <c r="Q249" s="119" t="s">
        <v>3324</v>
      </c>
      <c r="R249" s="119" t="s">
        <v>3788</v>
      </c>
      <c r="S249" s="119" t="s">
        <v>2985</v>
      </c>
      <c r="T249" s="119" t="s">
        <v>35</v>
      </c>
      <c r="U249" s="119" t="s">
        <v>35</v>
      </c>
      <c r="V249" s="119" t="s">
        <v>35</v>
      </c>
      <c r="W249" s="119" t="s">
        <v>35</v>
      </c>
      <c r="X249" s="119" t="s">
        <v>35</v>
      </c>
      <c r="Y249" s="119" t="s">
        <v>35</v>
      </c>
      <c r="Z249" s="119" t="s">
        <v>35</v>
      </c>
      <c r="AA249" s="119" t="s">
        <v>35</v>
      </c>
      <c r="AB249" s="119" t="s">
        <v>35</v>
      </c>
      <c r="AC249" s="119" t="s">
        <v>35</v>
      </c>
      <c r="AD249" s="119" t="s">
        <v>35</v>
      </c>
      <c r="AE249" s="119" t="s">
        <v>35</v>
      </c>
      <c r="AF249" s="119" t="s">
        <v>35</v>
      </c>
      <c r="AG249" s="119" t="s">
        <v>35</v>
      </c>
      <c r="AH249" s="119" t="s">
        <v>35</v>
      </c>
      <c r="AI249" s="119" t="s">
        <v>35</v>
      </c>
      <c r="AJ249" s="119" t="s">
        <v>35</v>
      </c>
    </row>
    <row r="250" spans="1:36" ht="18.75" customHeight="1" x14ac:dyDescent="0.25">
      <c r="A250" s="117" t="s">
        <v>262</v>
      </c>
      <c r="B250" s="119" t="s">
        <v>261</v>
      </c>
      <c r="C250" s="119" t="s">
        <v>260</v>
      </c>
      <c r="D250" s="119" t="s">
        <v>4816</v>
      </c>
      <c r="E250" s="119" t="s">
        <v>2977</v>
      </c>
      <c r="F250" s="119" t="s">
        <v>3700</v>
      </c>
      <c r="G250" s="119" t="s">
        <v>3148</v>
      </c>
      <c r="H250" s="119" t="s">
        <v>4817</v>
      </c>
      <c r="I250" s="119">
        <v>85</v>
      </c>
      <c r="J250" s="120" t="s">
        <v>4491</v>
      </c>
      <c r="K250" s="120" t="s">
        <v>35</v>
      </c>
      <c r="L250" s="119" t="s">
        <v>2980</v>
      </c>
      <c r="M250" s="119" t="s">
        <v>4787</v>
      </c>
      <c r="N250" s="119" t="s">
        <v>4788</v>
      </c>
      <c r="O250" s="119" t="s">
        <v>35</v>
      </c>
      <c r="P250" s="119" t="s">
        <v>3705</v>
      </c>
      <c r="Q250" s="119" t="s">
        <v>3324</v>
      </c>
      <c r="R250" s="119" t="s">
        <v>3788</v>
      </c>
      <c r="S250" s="119" t="s">
        <v>2985</v>
      </c>
      <c r="T250" s="119" t="s">
        <v>35</v>
      </c>
      <c r="U250" s="119" t="s">
        <v>35</v>
      </c>
      <c r="V250" s="119" t="s">
        <v>35</v>
      </c>
      <c r="W250" s="119" t="s">
        <v>35</v>
      </c>
      <c r="X250" s="119" t="s">
        <v>35</v>
      </c>
      <c r="Y250" s="119" t="s">
        <v>35</v>
      </c>
      <c r="Z250" s="119" t="s">
        <v>35</v>
      </c>
      <c r="AA250" s="119" t="s">
        <v>35</v>
      </c>
      <c r="AB250" s="119" t="s">
        <v>35</v>
      </c>
      <c r="AC250" s="119" t="s">
        <v>35</v>
      </c>
      <c r="AD250" s="119" t="s">
        <v>35</v>
      </c>
      <c r="AE250" s="119" t="s">
        <v>35</v>
      </c>
      <c r="AF250" s="119" t="s">
        <v>35</v>
      </c>
      <c r="AG250" s="119" t="s">
        <v>35</v>
      </c>
      <c r="AH250" s="119" t="s">
        <v>35</v>
      </c>
      <c r="AI250" s="119" t="s">
        <v>35</v>
      </c>
      <c r="AJ250" s="119" t="s">
        <v>35</v>
      </c>
    </row>
    <row r="251" spans="1:36" ht="18.75" customHeight="1" x14ac:dyDescent="0.25">
      <c r="A251" s="117" t="s">
        <v>262</v>
      </c>
      <c r="B251" s="119" t="s">
        <v>261</v>
      </c>
      <c r="C251" s="119" t="s">
        <v>260</v>
      </c>
      <c r="D251" s="119" t="s">
        <v>4818</v>
      </c>
      <c r="E251" s="119" t="s">
        <v>2977</v>
      </c>
      <c r="F251" s="119">
        <v>0</v>
      </c>
      <c r="G251" s="119" t="s">
        <v>35</v>
      </c>
      <c r="H251" s="119" t="s">
        <v>4819</v>
      </c>
      <c r="I251" s="119">
        <v>96</v>
      </c>
      <c r="J251" s="120" t="s">
        <v>3308</v>
      </c>
      <c r="K251" s="120" t="s">
        <v>35</v>
      </c>
      <c r="L251" s="119" t="s">
        <v>2980</v>
      </c>
      <c r="M251" s="119" t="s">
        <v>4787</v>
      </c>
      <c r="N251" s="119" t="s">
        <v>4788</v>
      </c>
      <c r="O251" s="119" t="s">
        <v>35</v>
      </c>
      <c r="P251" s="119" t="s">
        <v>3705</v>
      </c>
      <c r="Q251" s="119" t="s">
        <v>3324</v>
      </c>
      <c r="R251" s="119" t="s">
        <v>3788</v>
      </c>
      <c r="S251" s="119" t="s">
        <v>2985</v>
      </c>
      <c r="T251" s="119" t="s">
        <v>35</v>
      </c>
      <c r="U251" s="119" t="s">
        <v>35</v>
      </c>
      <c r="V251" s="119" t="s">
        <v>35</v>
      </c>
      <c r="W251" s="119" t="s">
        <v>35</v>
      </c>
      <c r="X251" s="119" t="s">
        <v>35</v>
      </c>
      <c r="Y251" s="119" t="s">
        <v>35</v>
      </c>
      <c r="Z251" s="119" t="s">
        <v>35</v>
      </c>
      <c r="AA251" s="119" t="s">
        <v>35</v>
      </c>
      <c r="AB251" s="119" t="s">
        <v>35</v>
      </c>
      <c r="AC251" s="119" t="s">
        <v>35</v>
      </c>
      <c r="AD251" s="119" t="s">
        <v>35</v>
      </c>
      <c r="AE251" s="119" t="s">
        <v>35</v>
      </c>
      <c r="AF251" s="119" t="s">
        <v>35</v>
      </c>
      <c r="AG251" s="119" t="s">
        <v>35</v>
      </c>
      <c r="AH251" s="119" t="s">
        <v>35</v>
      </c>
      <c r="AI251" s="119" t="s">
        <v>35</v>
      </c>
      <c r="AJ251" s="119" t="s">
        <v>35</v>
      </c>
    </row>
    <row r="252" spans="1:36" ht="18.75" customHeight="1" x14ac:dyDescent="0.25">
      <c r="A252" s="118" t="s">
        <v>957</v>
      </c>
      <c r="B252" s="807" t="s">
        <v>178</v>
      </c>
      <c r="C252" s="807" t="s">
        <v>177</v>
      </c>
      <c r="D252" s="807" t="s">
        <v>4820</v>
      </c>
      <c r="E252" s="807" t="s">
        <v>2977</v>
      </c>
      <c r="F252" s="807" t="s">
        <v>4821</v>
      </c>
      <c r="G252" s="807" t="s">
        <v>4822</v>
      </c>
      <c r="H252" s="807" t="s">
        <v>4823</v>
      </c>
      <c r="I252" s="807">
        <v>250</v>
      </c>
      <c r="J252" s="124" t="s">
        <v>3171</v>
      </c>
      <c r="K252" s="124" t="s">
        <v>35</v>
      </c>
      <c r="L252" s="807" t="s">
        <v>2980</v>
      </c>
      <c r="M252" s="807" t="s">
        <v>4824</v>
      </c>
      <c r="N252" s="807" t="s">
        <v>4825</v>
      </c>
      <c r="O252" s="807" t="s">
        <v>35</v>
      </c>
      <c r="P252" s="807" t="s">
        <v>3226</v>
      </c>
      <c r="Q252" s="807" t="s">
        <v>4826</v>
      </c>
      <c r="R252" s="807" t="s">
        <v>35</v>
      </c>
      <c r="S252" s="807" t="s">
        <v>3024</v>
      </c>
      <c r="T252" s="807" t="s">
        <v>4827</v>
      </c>
      <c r="U252" s="807" t="s">
        <v>4828</v>
      </c>
      <c r="V252" s="807" t="s">
        <v>4829</v>
      </c>
      <c r="W252" s="807" t="s">
        <v>4830</v>
      </c>
      <c r="X252" s="807" t="s">
        <v>4831</v>
      </c>
      <c r="Y252" s="807" t="s">
        <v>4832</v>
      </c>
      <c r="Z252" s="807" t="s">
        <v>4833</v>
      </c>
      <c r="AA252" s="807" t="s">
        <v>4834</v>
      </c>
      <c r="AB252" s="807" t="s">
        <v>4835</v>
      </c>
      <c r="AC252" s="807" t="s">
        <v>4836</v>
      </c>
      <c r="AD252" s="807" t="s">
        <v>4837</v>
      </c>
      <c r="AE252" s="807" t="s">
        <v>4838</v>
      </c>
      <c r="AF252" s="807" t="s">
        <v>4839</v>
      </c>
      <c r="AG252" s="807" t="s">
        <v>4840</v>
      </c>
      <c r="AH252" s="807" t="s">
        <v>4841</v>
      </c>
      <c r="AI252" s="807" t="s">
        <v>4842</v>
      </c>
      <c r="AJ252" s="807" t="s">
        <v>4843</v>
      </c>
    </row>
    <row r="253" spans="1:36" ht="18.75" customHeight="1" x14ac:dyDescent="0.25">
      <c r="A253" s="118" t="s">
        <v>957</v>
      </c>
      <c r="B253" s="807" t="s">
        <v>178</v>
      </c>
      <c r="C253" s="807" t="s">
        <v>177</v>
      </c>
      <c r="D253" s="807" t="s">
        <v>4844</v>
      </c>
      <c r="E253" s="807" t="s">
        <v>2977</v>
      </c>
      <c r="F253" s="807" t="s">
        <v>4845</v>
      </c>
      <c r="G253" s="807" t="s">
        <v>3084</v>
      </c>
      <c r="H253" s="807" t="s">
        <v>4846</v>
      </c>
      <c r="I253" s="807">
        <v>105</v>
      </c>
      <c r="J253" s="124" t="s">
        <v>3308</v>
      </c>
      <c r="K253" s="124" t="s">
        <v>35</v>
      </c>
      <c r="L253" s="807" t="s">
        <v>2980</v>
      </c>
      <c r="M253" s="807" t="s">
        <v>4824</v>
      </c>
      <c r="N253" s="807" t="s">
        <v>4825</v>
      </c>
      <c r="O253" s="807" t="s">
        <v>35</v>
      </c>
      <c r="P253" s="807" t="s">
        <v>4253</v>
      </c>
      <c r="Q253" s="807" t="s">
        <v>4826</v>
      </c>
      <c r="R253" s="807" t="s">
        <v>35</v>
      </c>
      <c r="S253" s="807" t="s">
        <v>3024</v>
      </c>
      <c r="T253" s="807" t="s">
        <v>35</v>
      </c>
      <c r="U253" s="807" t="s">
        <v>35</v>
      </c>
      <c r="V253" s="807" t="s">
        <v>35</v>
      </c>
      <c r="W253" s="807" t="s">
        <v>35</v>
      </c>
      <c r="X253" s="807" t="s">
        <v>35</v>
      </c>
      <c r="Y253" s="807" t="s">
        <v>35</v>
      </c>
      <c r="Z253" s="807" t="s">
        <v>35</v>
      </c>
      <c r="AA253" s="807" t="s">
        <v>35</v>
      </c>
      <c r="AB253" s="807" t="s">
        <v>35</v>
      </c>
      <c r="AC253" s="807" t="s">
        <v>35</v>
      </c>
      <c r="AD253" s="807" t="s">
        <v>35</v>
      </c>
      <c r="AE253" s="807" t="s">
        <v>35</v>
      </c>
      <c r="AF253" s="807" t="s">
        <v>35</v>
      </c>
      <c r="AG253" s="807" t="s">
        <v>35</v>
      </c>
      <c r="AH253" s="807" t="s">
        <v>35</v>
      </c>
      <c r="AI253" s="807" t="s">
        <v>35</v>
      </c>
      <c r="AJ253" s="807" t="s">
        <v>35</v>
      </c>
    </row>
    <row r="254" spans="1:36" ht="18.75" customHeight="1" x14ac:dyDescent="0.25">
      <c r="A254" s="117" t="s">
        <v>958</v>
      </c>
      <c r="B254" s="119" t="s">
        <v>182</v>
      </c>
      <c r="C254" s="119" t="s">
        <v>181</v>
      </c>
      <c r="D254" s="119" t="s">
        <v>4847</v>
      </c>
      <c r="E254" s="119" t="s">
        <v>2977</v>
      </c>
      <c r="F254" s="119" t="s">
        <v>4848</v>
      </c>
      <c r="G254" s="119" t="s">
        <v>3209</v>
      </c>
      <c r="H254" s="119" t="s">
        <v>4849</v>
      </c>
      <c r="I254" s="119">
        <v>206</v>
      </c>
      <c r="J254" s="120" t="s">
        <v>3648</v>
      </c>
      <c r="K254" s="120" t="s">
        <v>35</v>
      </c>
      <c r="L254" s="119" t="s">
        <v>2980</v>
      </c>
      <c r="M254" s="119" t="s">
        <v>4850</v>
      </c>
      <c r="N254" s="119" t="s">
        <v>4851</v>
      </c>
      <c r="O254" s="119" t="s">
        <v>35</v>
      </c>
      <c r="P254" s="119" t="s">
        <v>4121</v>
      </c>
      <c r="Q254" s="119" t="s">
        <v>4826</v>
      </c>
      <c r="R254" s="119" t="s">
        <v>2985</v>
      </c>
      <c r="S254" s="119" t="s">
        <v>3024</v>
      </c>
      <c r="T254" s="119" t="s">
        <v>4852</v>
      </c>
      <c r="U254" s="119" t="s">
        <v>4853</v>
      </c>
      <c r="V254" s="119" t="s">
        <v>4854</v>
      </c>
      <c r="W254" s="119" t="s">
        <v>4855</v>
      </c>
      <c r="X254" s="119" t="s">
        <v>4856</v>
      </c>
      <c r="Y254" s="119" t="s">
        <v>4857</v>
      </c>
      <c r="Z254" s="119" t="s">
        <v>4858</v>
      </c>
      <c r="AA254" s="119" t="s">
        <v>4859</v>
      </c>
      <c r="AB254" s="119" t="s">
        <v>4860</v>
      </c>
      <c r="AC254" s="119" t="s">
        <v>4861</v>
      </c>
      <c r="AD254" s="119" t="s">
        <v>3066</v>
      </c>
      <c r="AE254" s="119" t="s">
        <v>3066</v>
      </c>
      <c r="AF254" s="119" t="s">
        <v>3066</v>
      </c>
      <c r="AG254" s="119" t="s">
        <v>3066</v>
      </c>
      <c r="AH254" s="119" t="s">
        <v>4862</v>
      </c>
      <c r="AI254" s="119" t="s">
        <v>3066</v>
      </c>
      <c r="AJ254" s="119" t="s">
        <v>3066</v>
      </c>
    </row>
    <row r="255" spans="1:36" ht="18.75" customHeight="1" x14ac:dyDescent="0.25">
      <c r="A255" s="118" t="s">
        <v>186</v>
      </c>
      <c r="B255" s="807" t="s">
        <v>185</v>
      </c>
      <c r="C255" s="807" t="s">
        <v>184</v>
      </c>
      <c r="D255" s="807" t="s">
        <v>4863</v>
      </c>
      <c r="E255" s="807" t="s">
        <v>2977</v>
      </c>
      <c r="F255" s="807" t="s">
        <v>4864</v>
      </c>
      <c r="G255" s="807" t="s">
        <v>3235</v>
      </c>
      <c r="H255" s="807" t="s">
        <v>4865</v>
      </c>
      <c r="I255" s="807">
        <v>963</v>
      </c>
      <c r="J255" s="124" t="s">
        <v>4325</v>
      </c>
      <c r="K255" s="124" t="s">
        <v>35</v>
      </c>
      <c r="L255" s="807" t="s">
        <v>2980</v>
      </c>
      <c r="M255" s="807" t="s">
        <v>4866</v>
      </c>
      <c r="N255" s="807" t="s">
        <v>4867</v>
      </c>
      <c r="O255" s="807" t="s">
        <v>35</v>
      </c>
      <c r="P255" s="807" t="s">
        <v>3016</v>
      </c>
      <c r="Q255" s="807" t="s">
        <v>4868</v>
      </c>
      <c r="R255" s="807" t="s">
        <v>7</v>
      </c>
      <c r="S255" s="807" t="s">
        <v>3024</v>
      </c>
      <c r="T255" s="807" t="s">
        <v>4869</v>
      </c>
      <c r="U255" s="807" t="s">
        <v>4870</v>
      </c>
      <c r="V255" s="807" t="s">
        <v>4871</v>
      </c>
      <c r="W255" s="807" t="s">
        <v>4872</v>
      </c>
      <c r="X255" s="807" t="s">
        <v>4873</v>
      </c>
      <c r="Y255" s="807" t="s">
        <v>4874</v>
      </c>
      <c r="Z255" s="807" t="s">
        <v>4875</v>
      </c>
      <c r="AA255" s="807" t="s">
        <v>4876</v>
      </c>
      <c r="AB255" s="807" t="s">
        <v>4877</v>
      </c>
      <c r="AC255" s="807" t="s">
        <v>4878</v>
      </c>
      <c r="AD255" s="807" t="s">
        <v>4879</v>
      </c>
      <c r="AE255" s="807" t="s">
        <v>4880</v>
      </c>
      <c r="AF255" s="807" t="s">
        <v>4881</v>
      </c>
      <c r="AG255" s="807" t="s">
        <v>4882</v>
      </c>
      <c r="AH255" s="807" t="s">
        <v>4883</v>
      </c>
      <c r="AI255" s="807" t="s">
        <v>4884</v>
      </c>
      <c r="AJ255" s="807" t="s">
        <v>4885</v>
      </c>
    </row>
    <row r="256" spans="1:36" ht="18.75" customHeight="1" x14ac:dyDescent="0.25">
      <c r="A256" s="118" t="s">
        <v>186</v>
      </c>
      <c r="B256" s="807" t="s">
        <v>185</v>
      </c>
      <c r="C256" s="807" t="s">
        <v>184</v>
      </c>
      <c r="D256" s="807" t="s">
        <v>4886</v>
      </c>
      <c r="E256" s="807" t="s">
        <v>2977</v>
      </c>
      <c r="F256" s="807">
        <v>0</v>
      </c>
      <c r="G256" s="807" t="s">
        <v>35</v>
      </c>
      <c r="H256" s="807" t="s">
        <v>4887</v>
      </c>
      <c r="I256" s="807">
        <v>182</v>
      </c>
      <c r="J256" s="124" t="s">
        <v>35</v>
      </c>
      <c r="K256" s="124" t="s">
        <v>4491</v>
      </c>
      <c r="L256" s="807" t="s">
        <v>3172</v>
      </c>
      <c r="M256" s="807" t="s">
        <v>4888</v>
      </c>
      <c r="N256" s="807" t="s">
        <v>35</v>
      </c>
      <c r="O256" s="807" t="s">
        <v>35</v>
      </c>
      <c r="P256" s="807" t="s">
        <v>35</v>
      </c>
      <c r="Q256" s="807" t="s">
        <v>35</v>
      </c>
      <c r="R256" s="807" t="s">
        <v>35</v>
      </c>
      <c r="S256" s="807" t="s">
        <v>35</v>
      </c>
      <c r="T256" s="807" t="s">
        <v>35</v>
      </c>
      <c r="U256" s="807" t="s">
        <v>35</v>
      </c>
      <c r="V256" s="807" t="s">
        <v>35</v>
      </c>
      <c r="W256" s="807" t="s">
        <v>35</v>
      </c>
      <c r="X256" s="807" t="s">
        <v>35</v>
      </c>
      <c r="Y256" s="807" t="s">
        <v>35</v>
      </c>
      <c r="Z256" s="807" t="s">
        <v>35</v>
      </c>
      <c r="AA256" s="807" t="s">
        <v>35</v>
      </c>
      <c r="AB256" s="807" t="s">
        <v>35</v>
      </c>
      <c r="AC256" s="807" t="s">
        <v>35</v>
      </c>
      <c r="AD256" s="807" t="s">
        <v>35</v>
      </c>
      <c r="AE256" s="807" t="s">
        <v>35</v>
      </c>
      <c r="AF256" s="807" t="s">
        <v>35</v>
      </c>
      <c r="AG256" s="807" t="s">
        <v>35</v>
      </c>
      <c r="AH256" s="807" t="s">
        <v>35</v>
      </c>
      <c r="AI256" s="807" t="s">
        <v>35</v>
      </c>
      <c r="AJ256" s="807" t="s">
        <v>35</v>
      </c>
    </row>
    <row r="257" spans="1:36" ht="18.75" customHeight="1" x14ac:dyDescent="0.25">
      <c r="A257" s="117" t="s">
        <v>190</v>
      </c>
      <c r="B257" s="119" t="s">
        <v>189</v>
      </c>
      <c r="C257" s="119" t="s">
        <v>188</v>
      </c>
      <c r="D257" s="119" t="s">
        <v>4889</v>
      </c>
      <c r="E257" s="119" t="s">
        <v>2977</v>
      </c>
      <c r="F257" s="119" t="s">
        <v>4890</v>
      </c>
      <c r="G257" s="119" t="s">
        <v>3136</v>
      </c>
      <c r="H257" s="119" t="s">
        <v>4891</v>
      </c>
      <c r="I257" s="119">
        <v>350</v>
      </c>
      <c r="J257" s="120" t="s">
        <v>4892</v>
      </c>
      <c r="K257" s="120" t="s">
        <v>35</v>
      </c>
      <c r="L257" s="119" t="s">
        <v>2980</v>
      </c>
      <c r="M257" s="119" t="s">
        <v>4893</v>
      </c>
      <c r="N257" s="119" t="s">
        <v>4894</v>
      </c>
      <c r="O257" s="119" t="s">
        <v>35</v>
      </c>
      <c r="P257" s="119" t="s">
        <v>3922</v>
      </c>
      <c r="Q257" s="119" t="s">
        <v>3389</v>
      </c>
      <c r="R257" s="119" t="s">
        <v>7</v>
      </c>
      <c r="S257" s="119" t="s">
        <v>3024</v>
      </c>
      <c r="T257" s="119" t="s">
        <v>4895</v>
      </c>
      <c r="U257" s="119" t="s">
        <v>4896</v>
      </c>
      <c r="V257" s="119" t="s">
        <v>4897</v>
      </c>
      <c r="W257" s="119" t="s">
        <v>4898</v>
      </c>
      <c r="X257" s="119" t="s">
        <v>4899</v>
      </c>
      <c r="Y257" s="119" t="s">
        <v>4900</v>
      </c>
      <c r="Z257" s="119" t="s">
        <v>4901</v>
      </c>
      <c r="AA257" s="119" t="s">
        <v>4902</v>
      </c>
      <c r="AB257" s="119" t="s">
        <v>3375</v>
      </c>
      <c r="AC257" s="119" t="s">
        <v>4903</v>
      </c>
      <c r="AD257" s="119" t="s">
        <v>4904</v>
      </c>
      <c r="AE257" s="119" t="s">
        <v>4905</v>
      </c>
      <c r="AF257" s="119" t="s">
        <v>4906</v>
      </c>
      <c r="AG257" s="119" t="s">
        <v>4907</v>
      </c>
      <c r="AH257" s="119" t="s">
        <v>4908</v>
      </c>
      <c r="AI257" s="119" t="s">
        <v>3759</v>
      </c>
      <c r="AJ257" s="119" t="s">
        <v>4909</v>
      </c>
    </row>
    <row r="258" spans="1:36" ht="18.75" customHeight="1" x14ac:dyDescent="0.25">
      <c r="A258" s="117" t="s">
        <v>190</v>
      </c>
      <c r="B258" s="119" t="s">
        <v>189</v>
      </c>
      <c r="C258" s="119" t="s">
        <v>188</v>
      </c>
      <c r="D258" s="119" t="s">
        <v>4910</v>
      </c>
      <c r="E258" s="119" t="s">
        <v>3316</v>
      </c>
      <c r="F258" s="119" t="s">
        <v>4911</v>
      </c>
      <c r="G258" s="119" t="s">
        <v>3136</v>
      </c>
      <c r="H258" s="119" t="s">
        <v>4912</v>
      </c>
      <c r="I258" s="119">
        <v>68</v>
      </c>
      <c r="J258" s="120" t="s">
        <v>4913</v>
      </c>
      <c r="K258" s="120" t="s">
        <v>35</v>
      </c>
      <c r="L258" s="119" t="s">
        <v>3318</v>
      </c>
      <c r="M258" s="119" t="s">
        <v>4914</v>
      </c>
      <c r="N258" s="119" t="s">
        <v>35</v>
      </c>
      <c r="O258" s="119" t="s">
        <v>35</v>
      </c>
      <c r="P258" s="119" t="s">
        <v>35</v>
      </c>
      <c r="Q258" s="119" t="s">
        <v>35</v>
      </c>
      <c r="R258" s="119" t="s">
        <v>35</v>
      </c>
      <c r="S258" s="119" t="s">
        <v>35</v>
      </c>
      <c r="T258" s="119" t="s">
        <v>35</v>
      </c>
      <c r="U258" s="119" t="s">
        <v>35</v>
      </c>
      <c r="V258" s="119" t="s">
        <v>35</v>
      </c>
      <c r="W258" s="119" t="s">
        <v>35</v>
      </c>
      <c r="X258" s="119" t="s">
        <v>35</v>
      </c>
      <c r="Y258" s="119" t="s">
        <v>35</v>
      </c>
      <c r="Z258" s="119" t="s">
        <v>35</v>
      </c>
      <c r="AA258" s="119" t="s">
        <v>35</v>
      </c>
      <c r="AB258" s="119" t="s">
        <v>35</v>
      </c>
      <c r="AC258" s="119" t="s">
        <v>35</v>
      </c>
      <c r="AD258" s="119" t="s">
        <v>35</v>
      </c>
      <c r="AE258" s="119" t="s">
        <v>35</v>
      </c>
      <c r="AF258" s="119" t="s">
        <v>35</v>
      </c>
      <c r="AG258" s="119" t="s">
        <v>35</v>
      </c>
      <c r="AH258" s="119" t="s">
        <v>35</v>
      </c>
      <c r="AI258" s="119" t="s">
        <v>35</v>
      </c>
      <c r="AJ258" s="119" t="s">
        <v>35</v>
      </c>
    </row>
    <row r="259" spans="1:36" ht="18.75" customHeight="1" x14ac:dyDescent="0.25">
      <c r="A259" s="117" t="s">
        <v>190</v>
      </c>
      <c r="B259" s="119" t="s">
        <v>189</v>
      </c>
      <c r="C259" s="119" t="s">
        <v>188</v>
      </c>
      <c r="D259" s="119" t="s">
        <v>4915</v>
      </c>
      <c r="E259" s="119" t="s">
        <v>3316</v>
      </c>
      <c r="F259" s="119" t="s">
        <v>4916</v>
      </c>
      <c r="G259" s="119" t="s">
        <v>3136</v>
      </c>
      <c r="H259" s="119" t="s">
        <v>4917</v>
      </c>
      <c r="I259" s="119">
        <v>194</v>
      </c>
      <c r="J259" s="120" t="s">
        <v>4913</v>
      </c>
      <c r="K259" s="120" t="s">
        <v>35</v>
      </c>
      <c r="L259" s="119" t="s">
        <v>3318</v>
      </c>
      <c r="M259" s="119" t="s">
        <v>4918</v>
      </c>
      <c r="N259" s="119" t="s">
        <v>35</v>
      </c>
      <c r="O259" s="119" t="s">
        <v>35</v>
      </c>
      <c r="P259" s="119" t="s">
        <v>35</v>
      </c>
      <c r="Q259" s="119" t="s">
        <v>35</v>
      </c>
      <c r="R259" s="119" t="s">
        <v>35</v>
      </c>
      <c r="S259" s="119" t="s">
        <v>35</v>
      </c>
      <c r="T259" s="119" t="s">
        <v>35</v>
      </c>
      <c r="U259" s="119" t="s">
        <v>35</v>
      </c>
      <c r="V259" s="119" t="s">
        <v>35</v>
      </c>
      <c r="W259" s="119" t="s">
        <v>35</v>
      </c>
      <c r="X259" s="119" t="s">
        <v>35</v>
      </c>
      <c r="Y259" s="119" t="s">
        <v>35</v>
      </c>
      <c r="Z259" s="119" t="s">
        <v>35</v>
      </c>
      <c r="AA259" s="119" t="s">
        <v>35</v>
      </c>
      <c r="AB259" s="119" t="s">
        <v>35</v>
      </c>
      <c r="AC259" s="119" t="s">
        <v>35</v>
      </c>
      <c r="AD259" s="119" t="s">
        <v>35</v>
      </c>
      <c r="AE259" s="119" t="s">
        <v>35</v>
      </c>
      <c r="AF259" s="119" t="s">
        <v>35</v>
      </c>
      <c r="AG259" s="119" t="s">
        <v>35</v>
      </c>
      <c r="AH259" s="119" t="s">
        <v>35</v>
      </c>
      <c r="AI259" s="119" t="s">
        <v>35</v>
      </c>
      <c r="AJ259" s="119" t="s">
        <v>35</v>
      </c>
    </row>
    <row r="260" spans="1:36" ht="18.75" customHeight="1" x14ac:dyDescent="0.25">
      <c r="A260" s="117" t="s">
        <v>190</v>
      </c>
      <c r="B260" s="119" t="s">
        <v>189</v>
      </c>
      <c r="C260" s="119" t="s">
        <v>188</v>
      </c>
      <c r="D260" s="119" t="s">
        <v>4919</v>
      </c>
      <c r="E260" s="119" t="s">
        <v>2977</v>
      </c>
      <c r="F260" s="119">
        <v>0</v>
      </c>
      <c r="G260" s="119" t="s">
        <v>35</v>
      </c>
      <c r="H260" s="119" t="s">
        <v>4920</v>
      </c>
      <c r="I260" s="119">
        <v>15</v>
      </c>
      <c r="J260" s="120" t="s">
        <v>35</v>
      </c>
      <c r="K260" s="120" t="s">
        <v>35</v>
      </c>
      <c r="L260" s="119" t="s">
        <v>3558</v>
      </c>
      <c r="M260" s="119" t="s">
        <v>35</v>
      </c>
      <c r="N260" s="119" t="s">
        <v>35</v>
      </c>
      <c r="O260" s="119">
        <v>3501</v>
      </c>
      <c r="P260" s="119" t="s">
        <v>35</v>
      </c>
      <c r="Q260" s="119" t="s">
        <v>35</v>
      </c>
      <c r="R260" s="119" t="s">
        <v>35</v>
      </c>
      <c r="S260" s="119" t="s">
        <v>35</v>
      </c>
      <c r="T260" s="119" t="s">
        <v>35</v>
      </c>
      <c r="U260" s="119" t="s">
        <v>35</v>
      </c>
      <c r="V260" s="119" t="s">
        <v>35</v>
      </c>
      <c r="W260" s="119" t="s">
        <v>35</v>
      </c>
      <c r="X260" s="119" t="s">
        <v>35</v>
      </c>
      <c r="Y260" s="119" t="s">
        <v>35</v>
      </c>
      <c r="Z260" s="119" t="s">
        <v>35</v>
      </c>
      <c r="AA260" s="119" t="s">
        <v>35</v>
      </c>
      <c r="AB260" s="119" t="s">
        <v>35</v>
      </c>
      <c r="AC260" s="119" t="s">
        <v>35</v>
      </c>
      <c r="AD260" s="119" t="s">
        <v>35</v>
      </c>
      <c r="AE260" s="119" t="s">
        <v>35</v>
      </c>
      <c r="AF260" s="119" t="s">
        <v>35</v>
      </c>
      <c r="AG260" s="119" t="s">
        <v>35</v>
      </c>
      <c r="AH260" s="119" t="s">
        <v>35</v>
      </c>
      <c r="AI260" s="119" t="s">
        <v>35</v>
      </c>
      <c r="AJ260" s="119" t="s">
        <v>35</v>
      </c>
    </row>
    <row r="261" spans="1:36" ht="18.75" customHeight="1" x14ac:dyDescent="0.25">
      <c r="A261" s="118" t="s">
        <v>265</v>
      </c>
      <c r="B261" s="807" t="s">
        <v>193</v>
      </c>
      <c r="C261" s="807" t="s">
        <v>192</v>
      </c>
      <c r="D261" s="807" t="s">
        <v>4921</v>
      </c>
      <c r="E261" s="807" t="s">
        <v>2977</v>
      </c>
      <c r="F261" s="807" t="s">
        <v>312</v>
      </c>
      <c r="G261" s="807" t="s">
        <v>312</v>
      </c>
      <c r="H261" s="807" t="s">
        <v>4922</v>
      </c>
      <c r="I261" s="807">
        <v>272</v>
      </c>
      <c r="J261" s="124" t="s">
        <v>3150</v>
      </c>
      <c r="K261" s="124" t="s">
        <v>35</v>
      </c>
      <c r="L261" s="807" t="s">
        <v>2980</v>
      </c>
      <c r="M261" s="807" t="s">
        <v>4923</v>
      </c>
      <c r="N261" s="807" t="s">
        <v>4924</v>
      </c>
      <c r="O261" s="807" t="s">
        <v>35</v>
      </c>
      <c r="P261" s="807" t="s">
        <v>4925</v>
      </c>
      <c r="Q261" s="807" t="s">
        <v>3117</v>
      </c>
      <c r="R261" s="807" t="s">
        <v>7</v>
      </c>
      <c r="S261" s="807" t="s">
        <v>3024</v>
      </c>
      <c r="T261" s="807" t="s">
        <v>4926</v>
      </c>
      <c r="U261" s="807" t="s">
        <v>4927</v>
      </c>
      <c r="V261" s="807" t="s">
        <v>4928</v>
      </c>
      <c r="W261" s="807" t="s">
        <v>4929</v>
      </c>
      <c r="X261" s="807" t="s">
        <v>4930</v>
      </c>
      <c r="Y261" s="807" t="s">
        <v>4931</v>
      </c>
      <c r="Z261" s="807" t="s">
        <v>4932</v>
      </c>
      <c r="AA261" s="807" t="s">
        <v>4933</v>
      </c>
      <c r="AB261" s="807" t="s">
        <v>4934</v>
      </c>
      <c r="AC261" s="807" t="s">
        <v>4934</v>
      </c>
      <c r="AD261" s="807" t="s">
        <v>4935</v>
      </c>
      <c r="AE261" s="807" t="s">
        <v>4936</v>
      </c>
      <c r="AF261" s="807" t="s">
        <v>4937</v>
      </c>
      <c r="AG261" s="807" t="s">
        <v>4938</v>
      </c>
      <c r="AH261" s="807" t="s">
        <v>4939</v>
      </c>
      <c r="AI261" s="807" t="s">
        <v>4940</v>
      </c>
      <c r="AJ261" s="807" t="s">
        <v>4941</v>
      </c>
    </row>
    <row r="262" spans="1:36" ht="18.75" customHeight="1" x14ac:dyDescent="0.25">
      <c r="A262" s="118" t="s">
        <v>265</v>
      </c>
      <c r="B262" s="807" t="s">
        <v>193</v>
      </c>
      <c r="C262" s="807" t="s">
        <v>192</v>
      </c>
      <c r="D262" s="807" t="s">
        <v>4942</v>
      </c>
      <c r="E262" s="807" t="s">
        <v>2977</v>
      </c>
      <c r="F262" s="807" t="s">
        <v>4943</v>
      </c>
      <c r="G262" s="807" t="s">
        <v>3005</v>
      </c>
      <c r="H262" s="807" t="s">
        <v>4944</v>
      </c>
      <c r="I262" s="807">
        <v>219</v>
      </c>
      <c r="J262" s="124" t="s">
        <v>4732</v>
      </c>
      <c r="K262" s="124" t="s">
        <v>35</v>
      </c>
      <c r="L262" s="807" t="s">
        <v>2980</v>
      </c>
      <c r="M262" s="807" t="s">
        <v>4923</v>
      </c>
      <c r="N262" s="807" t="s">
        <v>4924</v>
      </c>
      <c r="O262" s="807" t="s">
        <v>35</v>
      </c>
      <c r="P262" s="807" t="s">
        <v>4945</v>
      </c>
      <c r="Q262" s="807" t="s">
        <v>3094</v>
      </c>
      <c r="R262" s="807" t="s">
        <v>7</v>
      </c>
      <c r="S262" s="807" t="s">
        <v>3024</v>
      </c>
      <c r="T262" s="807" t="s">
        <v>35</v>
      </c>
      <c r="U262" s="807" t="s">
        <v>35</v>
      </c>
      <c r="V262" s="807" t="s">
        <v>35</v>
      </c>
      <c r="W262" s="807" t="s">
        <v>35</v>
      </c>
      <c r="X262" s="807" t="s">
        <v>35</v>
      </c>
      <c r="Y262" s="807" t="s">
        <v>35</v>
      </c>
      <c r="Z262" s="807" t="s">
        <v>35</v>
      </c>
      <c r="AA262" s="807" t="s">
        <v>35</v>
      </c>
      <c r="AB262" s="807" t="s">
        <v>35</v>
      </c>
      <c r="AC262" s="807" t="s">
        <v>35</v>
      </c>
      <c r="AD262" s="807" t="s">
        <v>35</v>
      </c>
      <c r="AE262" s="807" t="s">
        <v>35</v>
      </c>
      <c r="AF262" s="807" t="s">
        <v>35</v>
      </c>
      <c r="AG262" s="807" t="s">
        <v>35</v>
      </c>
      <c r="AH262" s="807" t="s">
        <v>35</v>
      </c>
      <c r="AI262" s="807" t="s">
        <v>35</v>
      </c>
      <c r="AJ262" s="807" t="s">
        <v>35</v>
      </c>
    </row>
    <row r="263" spans="1:36" ht="18.75" customHeight="1" x14ac:dyDescent="0.25">
      <c r="A263" s="118" t="s">
        <v>265</v>
      </c>
      <c r="B263" s="807" t="s">
        <v>193</v>
      </c>
      <c r="C263" s="807" t="s">
        <v>192</v>
      </c>
      <c r="D263" s="807" t="s">
        <v>4946</v>
      </c>
      <c r="E263" s="807" t="s">
        <v>2977</v>
      </c>
      <c r="F263" s="807" t="s">
        <v>312</v>
      </c>
      <c r="G263" s="807" t="s">
        <v>312</v>
      </c>
      <c r="H263" s="807" t="s">
        <v>4947</v>
      </c>
      <c r="I263" s="807">
        <v>231</v>
      </c>
      <c r="J263" s="124" t="s">
        <v>35</v>
      </c>
      <c r="K263" s="124" t="s">
        <v>3171</v>
      </c>
      <c r="L263" s="807" t="s">
        <v>3172</v>
      </c>
      <c r="M263" s="807" t="s">
        <v>4948</v>
      </c>
      <c r="N263" s="807" t="s">
        <v>35</v>
      </c>
      <c r="O263" s="807" t="s">
        <v>35</v>
      </c>
      <c r="P263" s="807" t="s">
        <v>35</v>
      </c>
      <c r="Q263" s="807" t="s">
        <v>35</v>
      </c>
      <c r="R263" s="807" t="s">
        <v>35</v>
      </c>
      <c r="S263" s="807" t="s">
        <v>35</v>
      </c>
      <c r="T263" s="807" t="s">
        <v>35</v>
      </c>
      <c r="U263" s="807" t="s">
        <v>35</v>
      </c>
      <c r="V263" s="807" t="s">
        <v>35</v>
      </c>
      <c r="W263" s="807" t="s">
        <v>35</v>
      </c>
      <c r="X263" s="807" t="s">
        <v>35</v>
      </c>
      <c r="Y263" s="807" t="s">
        <v>35</v>
      </c>
      <c r="Z263" s="807" t="s">
        <v>35</v>
      </c>
      <c r="AA263" s="807" t="s">
        <v>35</v>
      </c>
      <c r="AB263" s="807" t="s">
        <v>35</v>
      </c>
      <c r="AC263" s="807" t="s">
        <v>35</v>
      </c>
      <c r="AD263" s="807" t="s">
        <v>35</v>
      </c>
      <c r="AE263" s="807" t="s">
        <v>35</v>
      </c>
      <c r="AF263" s="807" t="s">
        <v>35</v>
      </c>
      <c r="AG263" s="807" t="s">
        <v>35</v>
      </c>
      <c r="AH263" s="807" t="s">
        <v>35</v>
      </c>
      <c r="AI263" s="807" t="s">
        <v>35</v>
      </c>
      <c r="AJ263" s="807" t="s">
        <v>35</v>
      </c>
    </row>
    <row r="264" spans="1:36" ht="18.75" customHeight="1" x14ac:dyDescent="0.25">
      <c r="A264" s="118" t="s">
        <v>265</v>
      </c>
      <c r="B264" s="807" t="s">
        <v>193</v>
      </c>
      <c r="C264" s="807" t="s">
        <v>192</v>
      </c>
      <c r="D264" s="807" t="s">
        <v>4949</v>
      </c>
      <c r="E264" s="807" t="s">
        <v>2977</v>
      </c>
      <c r="F264" s="807" t="s">
        <v>4950</v>
      </c>
      <c r="G264" s="807" t="s">
        <v>3005</v>
      </c>
      <c r="H264" s="807" t="s">
        <v>4951</v>
      </c>
      <c r="I264" s="807">
        <v>273</v>
      </c>
      <c r="J264" s="124" t="s">
        <v>3150</v>
      </c>
      <c r="K264" s="124" t="s">
        <v>35</v>
      </c>
      <c r="L264" s="807" t="s">
        <v>2980</v>
      </c>
      <c r="M264" s="807" t="s">
        <v>4923</v>
      </c>
      <c r="N264" s="807" t="s">
        <v>4924</v>
      </c>
      <c r="O264" s="807" t="s">
        <v>35</v>
      </c>
      <c r="P264" s="807" t="s">
        <v>3640</v>
      </c>
      <c r="Q264" s="807" t="s">
        <v>3117</v>
      </c>
      <c r="R264" s="807" t="s">
        <v>7</v>
      </c>
      <c r="S264" s="807" t="s">
        <v>3024</v>
      </c>
      <c r="T264" s="807" t="s">
        <v>35</v>
      </c>
      <c r="U264" s="807" t="s">
        <v>35</v>
      </c>
      <c r="V264" s="807" t="s">
        <v>35</v>
      </c>
      <c r="W264" s="807" t="s">
        <v>35</v>
      </c>
      <c r="X264" s="807" t="s">
        <v>35</v>
      </c>
      <c r="Y264" s="807" t="s">
        <v>35</v>
      </c>
      <c r="Z264" s="807" t="s">
        <v>35</v>
      </c>
      <c r="AA264" s="807" t="s">
        <v>35</v>
      </c>
      <c r="AB264" s="807" t="s">
        <v>35</v>
      </c>
      <c r="AC264" s="807" t="s">
        <v>35</v>
      </c>
      <c r="AD264" s="807" t="s">
        <v>35</v>
      </c>
      <c r="AE264" s="807" t="s">
        <v>35</v>
      </c>
      <c r="AF264" s="807" t="s">
        <v>35</v>
      </c>
      <c r="AG264" s="807" t="s">
        <v>35</v>
      </c>
      <c r="AH264" s="807" t="s">
        <v>35</v>
      </c>
      <c r="AI264" s="807" t="s">
        <v>35</v>
      </c>
      <c r="AJ264" s="807" t="s">
        <v>35</v>
      </c>
    </row>
    <row r="265" spans="1:36" ht="18.75" customHeight="1" x14ac:dyDescent="0.25">
      <c r="A265" s="118" t="s">
        <v>265</v>
      </c>
      <c r="B265" s="807" t="s">
        <v>193</v>
      </c>
      <c r="C265" s="807" t="s">
        <v>192</v>
      </c>
      <c r="D265" s="807" t="s">
        <v>4952</v>
      </c>
      <c r="E265" s="807" t="s">
        <v>2977</v>
      </c>
      <c r="F265" s="807" t="s">
        <v>312</v>
      </c>
      <c r="G265" s="807" t="s">
        <v>312</v>
      </c>
      <c r="H265" s="807" t="s">
        <v>4953</v>
      </c>
      <c r="I265" s="807">
        <v>299</v>
      </c>
      <c r="J265" s="124" t="s">
        <v>4954</v>
      </c>
      <c r="K265" s="124" t="s">
        <v>35</v>
      </c>
      <c r="L265" s="807" t="s">
        <v>2980</v>
      </c>
      <c r="M265" s="807" t="s">
        <v>4923</v>
      </c>
      <c r="N265" s="807" t="s">
        <v>4924</v>
      </c>
      <c r="O265" s="807" t="s">
        <v>35</v>
      </c>
      <c r="P265" s="807" t="s">
        <v>4955</v>
      </c>
      <c r="Q265" s="807" t="s">
        <v>3117</v>
      </c>
      <c r="R265" s="807" t="s">
        <v>7</v>
      </c>
      <c r="S265" s="807" t="s">
        <v>3024</v>
      </c>
      <c r="T265" s="807" t="s">
        <v>35</v>
      </c>
      <c r="U265" s="807" t="s">
        <v>35</v>
      </c>
      <c r="V265" s="807" t="s">
        <v>35</v>
      </c>
      <c r="W265" s="807" t="s">
        <v>35</v>
      </c>
      <c r="X265" s="807" t="s">
        <v>35</v>
      </c>
      <c r="Y265" s="807" t="s">
        <v>35</v>
      </c>
      <c r="Z265" s="807" t="s">
        <v>35</v>
      </c>
      <c r="AA265" s="807" t="s">
        <v>35</v>
      </c>
      <c r="AB265" s="807" t="s">
        <v>35</v>
      </c>
      <c r="AC265" s="807" t="s">
        <v>35</v>
      </c>
      <c r="AD265" s="807" t="s">
        <v>35</v>
      </c>
      <c r="AE265" s="807" t="s">
        <v>35</v>
      </c>
      <c r="AF265" s="807" t="s">
        <v>35</v>
      </c>
      <c r="AG265" s="807" t="s">
        <v>35</v>
      </c>
      <c r="AH265" s="807" t="s">
        <v>35</v>
      </c>
      <c r="AI265" s="807" t="s">
        <v>35</v>
      </c>
      <c r="AJ265" s="807" t="s">
        <v>35</v>
      </c>
    </row>
    <row r="266" spans="1:36" ht="18.75" customHeight="1" x14ac:dyDescent="0.25">
      <c r="A266" s="118" t="s">
        <v>265</v>
      </c>
      <c r="B266" s="807" t="s">
        <v>193</v>
      </c>
      <c r="C266" s="807" t="s">
        <v>192</v>
      </c>
      <c r="D266" s="807" t="s">
        <v>4956</v>
      </c>
      <c r="E266" s="807" t="s">
        <v>3316</v>
      </c>
      <c r="F266" s="807" t="s">
        <v>312</v>
      </c>
      <c r="G266" s="807" t="s">
        <v>312</v>
      </c>
      <c r="H266" s="807" t="s">
        <v>4957</v>
      </c>
      <c r="I266" s="807">
        <v>22</v>
      </c>
      <c r="J266" s="124" t="s">
        <v>4679</v>
      </c>
      <c r="K266" s="124" t="s">
        <v>35</v>
      </c>
      <c r="L266" s="807" t="s">
        <v>3318</v>
      </c>
      <c r="M266" s="807" t="s">
        <v>4958</v>
      </c>
      <c r="N266" s="807" t="s">
        <v>35</v>
      </c>
      <c r="O266" s="807" t="s">
        <v>35</v>
      </c>
      <c r="P266" s="807" t="s">
        <v>35</v>
      </c>
      <c r="Q266" s="807" t="s">
        <v>35</v>
      </c>
      <c r="R266" s="807" t="s">
        <v>35</v>
      </c>
      <c r="S266" s="807" t="s">
        <v>35</v>
      </c>
      <c r="T266" s="807" t="s">
        <v>35</v>
      </c>
      <c r="U266" s="807" t="s">
        <v>35</v>
      </c>
      <c r="V266" s="807" t="s">
        <v>35</v>
      </c>
      <c r="W266" s="807" t="s">
        <v>35</v>
      </c>
      <c r="X266" s="807" t="s">
        <v>35</v>
      </c>
      <c r="Y266" s="807" t="s">
        <v>35</v>
      </c>
      <c r="Z266" s="807" t="s">
        <v>35</v>
      </c>
      <c r="AA266" s="807" t="s">
        <v>35</v>
      </c>
      <c r="AB266" s="807" t="s">
        <v>35</v>
      </c>
      <c r="AC266" s="807" t="s">
        <v>35</v>
      </c>
      <c r="AD266" s="807" t="s">
        <v>35</v>
      </c>
      <c r="AE266" s="807" t="s">
        <v>35</v>
      </c>
      <c r="AF266" s="807" t="s">
        <v>35</v>
      </c>
      <c r="AG266" s="807" t="s">
        <v>35</v>
      </c>
      <c r="AH266" s="807" t="s">
        <v>35</v>
      </c>
      <c r="AI266" s="807" t="s">
        <v>35</v>
      </c>
      <c r="AJ266" s="807" t="s">
        <v>35</v>
      </c>
    </row>
    <row r="267" spans="1:36" ht="18.75" customHeight="1" x14ac:dyDescent="0.25">
      <c r="A267" s="118" t="s">
        <v>265</v>
      </c>
      <c r="B267" s="807" t="s">
        <v>193</v>
      </c>
      <c r="C267" s="807" t="s">
        <v>192</v>
      </c>
      <c r="D267" s="807" t="s">
        <v>4959</v>
      </c>
      <c r="E267" s="807" t="s">
        <v>3316</v>
      </c>
      <c r="F267" s="807" t="s">
        <v>312</v>
      </c>
      <c r="G267" s="807" t="s">
        <v>312</v>
      </c>
      <c r="H267" s="807" t="s">
        <v>4960</v>
      </c>
      <c r="I267" s="807">
        <v>49</v>
      </c>
      <c r="J267" s="124" t="s">
        <v>4961</v>
      </c>
      <c r="K267" s="124" t="s">
        <v>35</v>
      </c>
      <c r="L267" s="807" t="s">
        <v>3318</v>
      </c>
      <c r="M267" s="807" t="s">
        <v>4962</v>
      </c>
      <c r="N267" s="807" t="s">
        <v>35</v>
      </c>
      <c r="O267" s="807" t="s">
        <v>35</v>
      </c>
      <c r="P267" s="807" t="s">
        <v>35</v>
      </c>
      <c r="Q267" s="807" t="s">
        <v>35</v>
      </c>
      <c r="R267" s="807" t="s">
        <v>35</v>
      </c>
      <c r="S267" s="807" t="s">
        <v>35</v>
      </c>
      <c r="T267" s="807" t="s">
        <v>35</v>
      </c>
      <c r="U267" s="807" t="s">
        <v>35</v>
      </c>
      <c r="V267" s="807" t="s">
        <v>35</v>
      </c>
      <c r="W267" s="807" t="s">
        <v>35</v>
      </c>
      <c r="X267" s="807" t="s">
        <v>35</v>
      </c>
      <c r="Y267" s="807" t="s">
        <v>35</v>
      </c>
      <c r="Z267" s="807" t="s">
        <v>35</v>
      </c>
      <c r="AA267" s="807" t="s">
        <v>35</v>
      </c>
      <c r="AB267" s="807" t="s">
        <v>35</v>
      </c>
      <c r="AC267" s="807" t="s">
        <v>35</v>
      </c>
      <c r="AD267" s="807" t="s">
        <v>35</v>
      </c>
      <c r="AE267" s="807" t="s">
        <v>35</v>
      </c>
      <c r="AF267" s="807" t="s">
        <v>35</v>
      </c>
      <c r="AG267" s="807" t="s">
        <v>35</v>
      </c>
      <c r="AH267" s="807" t="s">
        <v>35</v>
      </c>
      <c r="AI267" s="807" t="s">
        <v>35</v>
      </c>
      <c r="AJ267" s="807" t="s">
        <v>35</v>
      </c>
    </row>
    <row r="268" spans="1:36" ht="18.75" customHeight="1" x14ac:dyDescent="0.25">
      <c r="A268" s="118" t="s">
        <v>265</v>
      </c>
      <c r="B268" s="807" t="s">
        <v>193</v>
      </c>
      <c r="C268" s="807" t="s">
        <v>192</v>
      </c>
      <c r="D268" s="807" t="s">
        <v>4963</v>
      </c>
      <c r="E268" s="807" t="s">
        <v>2977</v>
      </c>
      <c r="F268" s="807" t="s">
        <v>4317</v>
      </c>
      <c r="G268" s="807" t="s">
        <v>3784</v>
      </c>
      <c r="H268" s="807" t="s">
        <v>4964</v>
      </c>
      <c r="I268" s="807">
        <v>221</v>
      </c>
      <c r="J268" s="124" t="s">
        <v>4732</v>
      </c>
      <c r="K268" s="124" t="s">
        <v>35</v>
      </c>
      <c r="L268" s="807" t="s">
        <v>2980</v>
      </c>
      <c r="M268" s="807" t="s">
        <v>4923</v>
      </c>
      <c r="N268" s="807" t="s">
        <v>4924</v>
      </c>
      <c r="O268" s="807" t="s">
        <v>35</v>
      </c>
      <c r="P268" s="807" t="s">
        <v>4965</v>
      </c>
      <c r="Q268" s="807" t="s">
        <v>3798</v>
      </c>
      <c r="R268" s="807" t="s">
        <v>7</v>
      </c>
      <c r="S268" s="807" t="s">
        <v>3024</v>
      </c>
      <c r="T268" s="807" t="s">
        <v>35</v>
      </c>
      <c r="U268" s="807" t="s">
        <v>35</v>
      </c>
      <c r="V268" s="807" t="s">
        <v>35</v>
      </c>
      <c r="W268" s="807" t="s">
        <v>35</v>
      </c>
      <c r="X268" s="807" t="s">
        <v>35</v>
      </c>
      <c r="Y268" s="807" t="s">
        <v>35</v>
      </c>
      <c r="Z268" s="807" t="s">
        <v>35</v>
      </c>
      <c r="AA268" s="807" t="s">
        <v>35</v>
      </c>
      <c r="AB268" s="807" t="s">
        <v>35</v>
      </c>
      <c r="AC268" s="807" t="s">
        <v>35</v>
      </c>
      <c r="AD268" s="807" t="s">
        <v>35</v>
      </c>
      <c r="AE268" s="807" t="s">
        <v>35</v>
      </c>
      <c r="AF268" s="807" t="s">
        <v>35</v>
      </c>
      <c r="AG268" s="807" t="s">
        <v>35</v>
      </c>
      <c r="AH268" s="807" t="s">
        <v>35</v>
      </c>
      <c r="AI268" s="807" t="s">
        <v>35</v>
      </c>
      <c r="AJ268" s="807" t="s">
        <v>35</v>
      </c>
    </row>
    <row r="269" spans="1:36" ht="18.75" customHeight="1" x14ac:dyDescent="0.25">
      <c r="A269" s="118" t="s">
        <v>265</v>
      </c>
      <c r="B269" s="807" t="s">
        <v>193</v>
      </c>
      <c r="C269" s="807" t="s">
        <v>192</v>
      </c>
      <c r="D269" s="807" t="s">
        <v>4966</v>
      </c>
      <c r="E269" s="807" t="s">
        <v>2977</v>
      </c>
      <c r="F269" s="807" t="s">
        <v>312</v>
      </c>
      <c r="G269" s="807" t="s">
        <v>312</v>
      </c>
      <c r="H269" s="807" t="s">
        <v>4967</v>
      </c>
      <c r="I269" s="807">
        <v>226</v>
      </c>
      <c r="J269" s="124" t="s">
        <v>4570</v>
      </c>
      <c r="K269" s="124" t="s">
        <v>35</v>
      </c>
      <c r="L269" s="807" t="s">
        <v>2980</v>
      </c>
      <c r="M269" s="807" t="s">
        <v>4968</v>
      </c>
      <c r="N269" s="807" t="s">
        <v>4969</v>
      </c>
      <c r="O269" s="807" t="s">
        <v>35</v>
      </c>
      <c r="P269" s="807" t="s">
        <v>4970</v>
      </c>
      <c r="Q269" s="807" t="s">
        <v>3117</v>
      </c>
      <c r="R269" s="807" t="s">
        <v>7</v>
      </c>
      <c r="S269" s="807" t="s">
        <v>35</v>
      </c>
      <c r="T269" s="807" t="s">
        <v>35</v>
      </c>
      <c r="U269" s="807" t="s">
        <v>35</v>
      </c>
      <c r="V269" s="807" t="s">
        <v>35</v>
      </c>
      <c r="W269" s="807" t="s">
        <v>35</v>
      </c>
      <c r="X269" s="807" t="s">
        <v>35</v>
      </c>
      <c r="Y269" s="807" t="s">
        <v>35</v>
      </c>
      <c r="Z269" s="807" t="s">
        <v>35</v>
      </c>
      <c r="AA269" s="807" t="s">
        <v>35</v>
      </c>
      <c r="AB269" s="807" t="s">
        <v>35</v>
      </c>
      <c r="AC269" s="807" t="s">
        <v>35</v>
      </c>
      <c r="AD269" s="807" t="s">
        <v>35</v>
      </c>
      <c r="AE269" s="807" t="s">
        <v>35</v>
      </c>
      <c r="AF269" s="807" t="s">
        <v>35</v>
      </c>
      <c r="AG269" s="807" t="s">
        <v>35</v>
      </c>
      <c r="AH269" s="807" t="s">
        <v>35</v>
      </c>
      <c r="AI269" s="807" t="s">
        <v>35</v>
      </c>
      <c r="AJ269" s="807" t="s">
        <v>35</v>
      </c>
    </row>
    <row r="270" spans="1:36" ht="18.75" customHeight="1" x14ac:dyDescent="0.25">
      <c r="A270" s="118" t="s">
        <v>265</v>
      </c>
      <c r="B270" s="807" t="s">
        <v>193</v>
      </c>
      <c r="C270" s="807" t="s">
        <v>192</v>
      </c>
      <c r="D270" s="807" t="s">
        <v>4971</v>
      </c>
      <c r="E270" s="807" t="s">
        <v>2977</v>
      </c>
      <c r="F270" s="807" t="s">
        <v>312</v>
      </c>
      <c r="G270" s="807" t="s">
        <v>312</v>
      </c>
      <c r="H270" s="807" t="s">
        <v>4972</v>
      </c>
      <c r="I270" s="807">
        <v>249</v>
      </c>
      <c r="J270" s="124" t="s">
        <v>35</v>
      </c>
      <c r="K270" s="124" t="s">
        <v>4570</v>
      </c>
      <c r="L270" s="807" t="s">
        <v>3172</v>
      </c>
      <c r="M270" s="807" t="s">
        <v>4973</v>
      </c>
      <c r="N270" s="807" t="s">
        <v>35</v>
      </c>
      <c r="O270" s="807" t="s">
        <v>35</v>
      </c>
      <c r="P270" s="807" t="s">
        <v>35</v>
      </c>
      <c r="Q270" s="807" t="s">
        <v>35</v>
      </c>
      <c r="R270" s="807" t="s">
        <v>35</v>
      </c>
      <c r="S270" s="807" t="s">
        <v>35</v>
      </c>
      <c r="T270" s="807" t="s">
        <v>35</v>
      </c>
      <c r="U270" s="807" t="s">
        <v>35</v>
      </c>
      <c r="V270" s="807" t="s">
        <v>35</v>
      </c>
      <c r="W270" s="807" t="s">
        <v>35</v>
      </c>
      <c r="X270" s="807" t="s">
        <v>35</v>
      </c>
      <c r="Y270" s="807" t="s">
        <v>35</v>
      </c>
      <c r="Z270" s="807" t="s">
        <v>35</v>
      </c>
      <c r="AA270" s="807" t="s">
        <v>35</v>
      </c>
      <c r="AB270" s="807" t="s">
        <v>35</v>
      </c>
      <c r="AC270" s="807" t="s">
        <v>35</v>
      </c>
      <c r="AD270" s="807" t="s">
        <v>35</v>
      </c>
      <c r="AE270" s="807" t="s">
        <v>35</v>
      </c>
      <c r="AF270" s="807" t="s">
        <v>35</v>
      </c>
      <c r="AG270" s="807" t="s">
        <v>35</v>
      </c>
      <c r="AH270" s="807" t="s">
        <v>35</v>
      </c>
      <c r="AI270" s="807" t="s">
        <v>35</v>
      </c>
      <c r="AJ270" s="807" t="s">
        <v>35</v>
      </c>
    </row>
    <row r="271" spans="1:36" ht="18.75" customHeight="1" x14ac:dyDescent="0.25">
      <c r="A271" s="118" t="s">
        <v>265</v>
      </c>
      <c r="B271" s="807" t="s">
        <v>193</v>
      </c>
      <c r="C271" s="807" t="s">
        <v>192</v>
      </c>
      <c r="D271" s="807" t="s">
        <v>4974</v>
      </c>
      <c r="E271" s="807" t="s">
        <v>2977</v>
      </c>
      <c r="F271" s="807" t="s">
        <v>312</v>
      </c>
      <c r="G271" s="807" t="s">
        <v>312</v>
      </c>
      <c r="H271" s="807" t="s">
        <v>4975</v>
      </c>
      <c r="I271" s="807">
        <v>243</v>
      </c>
      <c r="J271" s="124" t="s">
        <v>4679</v>
      </c>
      <c r="K271" s="124" t="s">
        <v>35</v>
      </c>
      <c r="L271" s="807" t="s">
        <v>2980</v>
      </c>
      <c r="M271" s="807" t="s">
        <v>4976</v>
      </c>
      <c r="N271" s="807" t="s">
        <v>4977</v>
      </c>
      <c r="O271" s="807" t="s">
        <v>35</v>
      </c>
      <c r="P271" s="807" t="s">
        <v>4978</v>
      </c>
      <c r="Q271" s="807" t="s">
        <v>3389</v>
      </c>
      <c r="R271" s="807" t="s">
        <v>7</v>
      </c>
      <c r="S271" s="807" t="s">
        <v>35</v>
      </c>
      <c r="T271" s="807" t="s">
        <v>35</v>
      </c>
      <c r="U271" s="807" t="s">
        <v>35</v>
      </c>
      <c r="V271" s="807" t="s">
        <v>35</v>
      </c>
      <c r="W271" s="807" t="s">
        <v>35</v>
      </c>
      <c r="X271" s="807" t="s">
        <v>35</v>
      </c>
      <c r="Y271" s="807" t="s">
        <v>35</v>
      </c>
      <c r="Z271" s="807" t="s">
        <v>35</v>
      </c>
      <c r="AA271" s="807" t="s">
        <v>35</v>
      </c>
      <c r="AB271" s="807" t="s">
        <v>35</v>
      </c>
      <c r="AC271" s="807" t="s">
        <v>35</v>
      </c>
      <c r="AD271" s="807" t="s">
        <v>35</v>
      </c>
      <c r="AE271" s="807" t="s">
        <v>35</v>
      </c>
      <c r="AF271" s="807" t="s">
        <v>35</v>
      </c>
      <c r="AG271" s="807" t="s">
        <v>35</v>
      </c>
      <c r="AH271" s="807" t="s">
        <v>35</v>
      </c>
      <c r="AI271" s="807" t="s">
        <v>35</v>
      </c>
      <c r="AJ271" s="807" t="s">
        <v>35</v>
      </c>
    </row>
    <row r="272" spans="1:36" ht="18.75" customHeight="1" x14ac:dyDescent="0.25">
      <c r="A272" s="118" t="s">
        <v>265</v>
      </c>
      <c r="B272" s="807" t="s">
        <v>193</v>
      </c>
      <c r="C272" s="807" t="s">
        <v>192</v>
      </c>
      <c r="D272" s="807" t="s">
        <v>4979</v>
      </c>
      <c r="E272" s="807" t="s">
        <v>3316</v>
      </c>
      <c r="F272" s="807" t="s">
        <v>312</v>
      </c>
      <c r="G272" s="807" t="s">
        <v>312</v>
      </c>
      <c r="H272" s="807" t="s">
        <v>4980</v>
      </c>
      <c r="I272" s="807">
        <v>124</v>
      </c>
      <c r="J272" s="124" t="s">
        <v>3019</v>
      </c>
      <c r="K272" s="124" t="s">
        <v>35</v>
      </c>
      <c r="L272" s="807" t="s">
        <v>3459</v>
      </c>
      <c r="M272" s="807" t="s">
        <v>4923</v>
      </c>
      <c r="N272" s="807" t="s">
        <v>4924</v>
      </c>
      <c r="O272" s="807" t="s">
        <v>35</v>
      </c>
      <c r="P272" s="807" t="s">
        <v>4981</v>
      </c>
      <c r="Q272" s="807" t="s">
        <v>4982</v>
      </c>
      <c r="R272" s="807" t="s">
        <v>7</v>
      </c>
      <c r="S272" s="807" t="s">
        <v>3024</v>
      </c>
      <c r="T272" s="807" t="s">
        <v>35</v>
      </c>
      <c r="U272" s="807" t="s">
        <v>35</v>
      </c>
      <c r="V272" s="807" t="s">
        <v>35</v>
      </c>
      <c r="W272" s="807" t="s">
        <v>35</v>
      </c>
      <c r="X272" s="807" t="s">
        <v>35</v>
      </c>
      <c r="Y272" s="807" t="s">
        <v>35</v>
      </c>
      <c r="Z272" s="807" t="s">
        <v>35</v>
      </c>
      <c r="AA272" s="807" t="s">
        <v>35</v>
      </c>
      <c r="AB272" s="807" t="s">
        <v>35</v>
      </c>
      <c r="AC272" s="807" t="s">
        <v>35</v>
      </c>
      <c r="AD272" s="807" t="s">
        <v>35</v>
      </c>
      <c r="AE272" s="807" t="s">
        <v>35</v>
      </c>
      <c r="AF272" s="807" t="s">
        <v>35</v>
      </c>
      <c r="AG272" s="807" t="s">
        <v>35</v>
      </c>
      <c r="AH272" s="807" t="s">
        <v>35</v>
      </c>
      <c r="AI272" s="807" t="s">
        <v>35</v>
      </c>
      <c r="AJ272" s="807" t="s">
        <v>35</v>
      </c>
    </row>
    <row r="273" spans="1:36" ht="18.75" customHeight="1" x14ac:dyDescent="0.25">
      <c r="A273" s="118" t="s">
        <v>265</v>
      </c>
      <c r="B273" s="807" t="s">
        <v>193</v>
      </c>
      <c r="C273" s="807" t="s">
        <v>192</v>
      </c>
      <c r="D273" s="807" t="s">
        <v>4983</v>
      </c>
      <c r="E273" s="807" t="s">
        <v>3316</v>
      </c>
      <c r="F273" s="807" t="s">
        <v>312</v>
      </c>
      <c r="G273" s="807" t="s">
        <v>312</v>
      </c>
      <c r="H273" s="807" t="s">
        <v>4984</v>
      </c>
      <c r="I273" s="807">
        <v>126</v>
      </c>
      <c r="J273" s="124" t="s">
        <v>4732</v>
      </c>
      <c r="K273" s="124" t="s">
        <v>35</v>
      </c>
      <c r="L273" s="807" t="s">
        <v>3459</v>
      </c>
      <c r="M273" s="807" t="s">
        <v>4985</v>
      </c>
      <c r="N273" s="807" t="s">
        <v>4986</v>
      </c>
      <c r="O273" s="807" t="s">
        <v>35</v>
      </c>
      <c r="P273" s="807" t="s">
        <v>3636</v>
      </c>
      <c r="Q273" s="807" t="s">
        <v>3189</v>
      </c>
      <c r="R273" s="807" t="s">
        <v>7</v>
      </c>
      <c r="S273" s="807" t="s">
        <v>35</v>
      </c>
      <c r="T273" s="807" t="s">
        <v>35</v>
      </c>
      <c r="U273" s="807" t="s">
        <v>35</v>
      </c>
      <c r="V273" s="807" t="s">
        <v>35</v>
      </c>
      <c r="W273" s="807" t="s">
        <v>35</v>
      </c>
      <c r="X273" s="807" t="s">
        <v>35</v>
      </c>
      <c r="Y273" s="807" t="s">
        <v>35</v>
      </c>
      <c r="Z273" s="807" t="s">
        <v>35</v>
      </c>
      <c r="AA273" s="807" t="s">
        <v>35</v>
      </c>
      <c r="AB273" s="807" t="s">
        <v>35</v>
      </c>
      <c r="AC273" s="807" t="s">
        <v>35</v>
      </c>
      <c r="AD273" s="807" t="s">
        <v>35</v>
      </c>
      <c r="AE273" s="807" t="s">
        <v>35</v>
      </c>
      <c r="AF273" s="807" t="s">
        <v>35</v>
      </c>
      <c r="AG273" s="807" t="s">
        <v>35</v>
      </c>
      <c r="AH273" s="807" t="s">
        <v>35</v>
      </c>
      <c r="AI273" s="807" t="s">
        <v>35</v>
      </c>
      <c r="AJ273" s="807" t="s">
        <v>35</v>
      </c>
    </row>
    <row r="274" spans="1:36" ht="18.75" customHeight="1" x14ac:dyDescent="0.25">
      <c r="A274" s="118" t="s">
        <v>265</v>
      </c>
      <c r="B274" s="807" t="s">
        <v>193</v>
      </c>
      <c r="C274" s="807" t="s">
        <v>192</v>
      </c>
      <c r="D274" s="807" t="s">
        <v>4987</v>
      </c>
      <c r="E274" s="807" t="s">
        <v>3316</v>
      </c>
      <c r="F274" s="807" t="s">
        <v>4988</v>
      </c>
      <c r="G274" s="807" t="s">
        <v>4194</v>
      </c>
      <c r="H274" s="807" t="s">
        <v>4989</v>
      </c>
      <c r="I274" s="807">
        <v>55</v>
      </c>
      <c r="J274" s="124" t="s">
        <v>35</v>
      </c>
      <c r="K274" s="124" t="s">
        <v>3176</v>
      </c>
      <c r="L274" s="807" t="s">
        <v>4624</v>
      </c>
      <c r="M274" s="807" t="s">
        <v>4990</v>
      </c>
      <c r="N274" s="807" t="s">
        <v>35</v>
      </c>
      <c r="O274" s="807" t="s">
        <v>35</v>
      </c>
      <c r="P274" s="807" t="s">
        <v>35</v>
      </c>
      <c r="Q274" s="807" t="s">
        <v>35</v>
      </c>
      <c r="R274" s="807" t="s">
        <v>35</v>
      </c>
      <c r="S274" s="807" t="s">
        <v>35</v>
      </c>
      <c r="T274" s="807" t="s">
        <v>35</v>
      </c>
      <c r="U274" s="807" t="s">
        <v>35</v>
      </c>
      <c r="V274" s="807" t="s">
        <v>35</v>
      </c>
      <c r="W274" s="807" t="s">
        <v>35</v>
      </c>
      <c r="X274" s="807" t="s">
        <v>35</v>
      </c>
      <c r="Y274" s="807" t="s">
        <v>35</v>
      </c>
      <c r="Z274" s="807" t="s">
        <v>35</v>
      </c>
      <c r="AA274" s="807" t="s">
        <v>35</v>
      </c>
      <c r="AB274" s="807" t="s">
        <v>35</v>
      </c>
      <c r="AC274" s="807" t="s">
        <v>35</v>
      </c>
      <c r="AD274" s="807" t="s">
        <v>35</v>
      </c>
      <c r="AE274" s="807" t="s">
        <v>35</v>
      </c>
      <c r="AF274" s="807" t="s">
        <v>35</v>
      </c>
      <c r="AG274" s="807" t="s">
        <v>35</v>
      </c>
      <c r="AH274" s="807" t="s">
        <v>35</v>
      </c>
      <c r="AI274" s="807" t="s">
        <v>35</v>
      </c>
      <c r="AJ274" s="807" t="s">
        <v>35</v>
      </c>
    </row>
    <row r="275" spans="1:36" ht="18.75" customHeight="1" x14ac:dyDescent="0.25">
      <c r="A275" s="118" t="s">
        <v>265</v>
      </c>
      <c r="B275" s="807" t="s">
        <v>193</v>
      </c>
      <c r="C275" s="807" t="s">
        <v>192</v>
      </c>
      <c r="D275" s="807" t="s">
        <v>4991</v>
      </c>
      <c r="E275" s="807" t="s">
        <v>3316</v>
      </c>
      <c r="F275" s="807" t="s">
        <v>312</v>
      </c>
      <c r="G275" s="807" t="s">
        <v>312</v>
      </c>
      <c r="H275" s="807" t="s">
        <v>4992</v>
      </c>
      <c r="I275" s="807">
        <v>44</v>
      </c>
      <c r="J275" s="124" t="s">
        <v>35</v>
      </c>
      <c r="K275" s="124" t="s">
        <v>4629</v>
      </c>
      <c r="L275" s="807" t="s">
        <v>4624</v>
      </c>
      <c r="M275" s="807" t="s">
        <v>4993</v>
      </c>
      <c r="N275" s="807" t="s">
        <v>35</v>
      </c>
      <c r="O275" s="807" t="s">
        <v>35</v>
      </c>
      <c r="P275" s="807" t="s">
        <v>35</v>
      </c>
      <c r="Q275" s="807" t="s">
        <v>35</v>
      </c>
      <c r="R275" s="807" t="s">
        <v>35</v>
      </c>
      <c r="S275" s="807" t="s">
        <v>35</v>
      </c>
      <c r="T275" s="807" t="s">
        <v>35</v>
      </c>
      <c r="U275" s="807" t="s">
        <v>35</v>
      </c>
      <c r="V275" s="807" t="s">
        <v>35</v>
      </c>
      <c r="W275" s="807" t="s">
        <v>35</v>
      </c>
      <c r="X275" s="807" t="s">
        <v>35</v>
      </c>
      <c r="Y275" s="807" t="s">
        <v>35</v>
      </c>
      <c r="Z275" s="807" t="s">
        <v>35</v>
      </c>
      <c r="AA275" s="807" t="s">
        <v>35</v>
      </c>
      <c r="AB275" s="807" t="s">
        <v>35</v>
      </c>
      <c r="AC275" s="807" t="s">
        <v>35</v>
      </c>
      <c r="AD275" s="807" t="s">
        <v>35</v>
      </c>
      <c r="AE275" s="807" t="s">
        <v>35</v>
      </c>
      <c r="AF275" s="807" t="s">
        <v>35</v>
      </c>
      <c r="AG275" s="807" t="s">
        <v>35</v>
      </c>
      <c r="AH275" s="807" t="s">
        <v>35</v>
      </c>
      <c r="AI275" s="807" t="s">
        <v>35</v>
      </c>
      <c r="AJ275" s="807" t="s">
        <v>35</v>
      </c>
    </row>
    <row r="276" spans="1:36" ht="18.75" customHeight="1" x14ac:dyDescent="0.25">
      <c r="A276" s="117" t="s">
        <v>959</v>
      </c>
      <c r="B276" s="119" t="s">
        <v>197</v>
      </c>
      <c r="C276" s="119" t="s">
        <v>196</v>
      </c>
      <c r="D276" s="119" t="s">
        <v>4994</v>
      </c>
      <c r="E276" s="119" t="s">
        <v>2977</v>
      </c>
      <c r="F276" s="119" t="s">
        <v>4995</v>
      </c>
      <c r="G276" s="119" t="s">
        <v>3276</v>
      </c>
      <c r="H276" s="119" t="s">
        <v>4996</v>
      </c>
      <c r="I276" s="119">
        <v>501</v>
      </c>
      <c r="J276" s="120" t="s">
        <v>4491</v>
      </c>
      <c r="K276" s="120" t="s">
        <v>35</v>
      </c>
      <c r="L276" s="119" t="s">
        <v>2980</v>
      </c>
      <c r="M276" s="119" t="s">
        <v>4997</v>
      </c>
      <c r="N276" s="119" t="s">
        <v>4998</v>
      </c>
      <c r="O276" s="119" t="s">
        <v>35</v>
      </c>
      <c r="P276" s="119" t="s">
        <v>4999</v>
      </c>
      <c r="Q276" s="119" t="s">
        <v>5000</v>
      </c>
      <c r="R276" s="119" t="s">
        <v>35</v>
      </c>
      <c r="S276" s="119" t="s">
        <v>35</v>
      </c>
      <c r="T276" s="119" t="s">
        <v>5001</v>
      </c>
      <c r="U276" s="119" t="s">
        <v>5002</v>
      </c>
      <c r="V276" s="119" t="s">
        <v>5003</v>
      </c>
      <c r="W276" s="119" t="s">
        <v>5004</v>
      </c>
      <c r="X276" s="119" t="s">
        <v>5005</v>
      </c>
      <c r="Y276" s="119" t="s">
        <v>5006</v>
      </c>
      <c r="Z276" s="119" t="s">
        <v>35</v>
      </c>
      <c r="AA276" s="119" t="s">
        <v>35</v>
      </c>
      <c r="AB276" s="119" t="s">
        <v>5007</v>
      </c>
      <c r="AC276" s="119" t="s">
        <v>5008</v>
      </c>
      <c r="AD276" s="119" t="s">
        <v>3066</v>
      </c>
      <c r="AE276" s="119" t="s">
        <v>3066</v>
      </c>
      <c r="AF276" s="119" t="s">
        <v>5009</v>
      </c>
      <c r="AG276" s="119" t="s">
        <v>3066</v>
      </c>
      <c r="AH276" s="119" t="s">
        <v>3066</v>
      </c>
      <c r="AI276" s="119" t="s">
        <v>3066</v>
      </c>
      <c r="AJ276" s="119" t="s">
        <v>3066</v>
      </c>
    </row>
    <row r="277" spans="1:36" ht="18.75" customHeight="1" x14ac:dyDescent="0.25">
      <c r="A277" s="117" t="s">
        <v>959</v>
      </c>
      <c r="B277" s="119" t="s">
        <v>197</v>
      </c>
      <c r="C277" s="119" t="s">
        <v>196</v>
      </c>
      <c r="D277" s="119" t="s">
        <v>5010</v>
      </c>
      <c r="E277" s="119" t="s">
        <v>2977</v>
      </c>
      <c r="F277" s="119">
        <v>0</v>
      </c>
      <c r="G277" s="119" t="s">
        <v>35</v>
      </c>
      <c r="H277" s="119" t="s">
        <v>5011</v>
      </c>
      <c r="I277" s="119">
        <v>501</v>
      </c>
      <c r="J277" s="120" t="s">
        <v>3013</v>
      </c>
      <c r="K277" s="120" t="s">
        <v>35</v>
      </c>
      <c r="L277" s="119" t="s">
        <v>2980</v>
      </c>
      <c r="M277" s="119" t="s">
        <v>4997</v>
      </c>
      <c r="N277" s="119" t="s">
        <v>4998</v>
      </c>
      <c r="O277" s="119" t="s">
        <v>35</v>
      </c>
      <c r="P277" s="119" t="s">
        <v>4999</v>
      </c>
      <c r="Q277" s="119" t="s">
        <v>5000</v>
      </c>
      <c r="R277" s="119" t="s">
        <v>35</v>
      </c>
      <c r="S277" s="119" t="s">
        <v>35</v>
      </c>
      <c r="T277" s="119" t="s">
        <v>35</v>
      </c>
      <c r="U277" s="119" t="s">
        <v>35</v>
      </c>
      <c r="V277" s="119" t="s">
        <v>35</v>
      </c>
      <c r="W277" s="119" t="s">
        <v>35</v>
      </c>
      <c r="X277" s="119" t="s">
        <v>35</v>
      </c>
      <c r="Y277" s="119" t="s">
        <v>35</v>
      </c>
      <c r="Z277" s="119" t="s">
        <v>35</v>
      </c>
      <c r="AA277" s="119" t="s">
        <v>35</v>
      </c>
      <c r="AB277" s="119" t="s">
        <v>35</v>
      </c>
      <c r="AC277" s="119" t="s">
        <v>35</v>
      </c>
      <c r="AD277" s="119" t="s">
        <v>35</v>
      </c>
      <c r="AE277" s="119" t="s">
        <v>35</v>
      </c>
      <c r="AF277" s="119" t="s">
        <v>35</v>
      </c>
      <c r="AG277" s="119" t="s">
        <v>35</v>
      </c>
      <c r="AH277" s="119" t="s">
        <v>35</v>
      </c>
      <c r="AI277" s="119" t="s">
        <v>35</v>
      </c>
      <c r="AJ277" s="119" t="s">
        <v>35</v>
      </c>
    </row>
    <row r="278" spans="1:36" ht="18.75" customHeight="1" x14ac:dyDescent="0.25">
      <c r="A278" s="117" t="s">
        <v>959</v>
      </c>
      <c r="B278" s="119" t="s">
        <v>197</v>
      </c>
      <c r="C278" s="119" t="s">
        <v>196</v>
      </c>
      <c r="D278" s="119" t="s">
        <v>5012</v>
      </c>
      <c r="E278" s="119" t="s">
        <v>2977</v>
      </c>
      <c r="F278" s="119" t="s">
        <v>312</v>
      </c>
      <c r="G278" s="119" t="s">
        <v>312</v>
      </c>
      <c r="H278" s="119" t="s">
        <v>5013</v>
      </c>
      <c r="I278" s="119">
        <v>250</v>
      </c>
      <c r="J278" s="120" t="s">
        <v>4491</v>
      </c>
      <c r="K278" s="120" t="s">
        <v>35</v>
      </c>
      <c r="L278" s="119" t="s">
        <v>2980</v>
      </c>
      <c r="M278" s="119" t="s">
        <v>5014</v>
      </c>
      <c r="N278" s="119" t="s">
        <v>5015</v>
      </c>
      <c r="O278" s="119" t="s">
        <v>35</v>
      </c>
      <c r="P278" s="119" t="s">
        <v>5016</v>
      </c>
      <c r="Q278" s="119" t="s">
        <v>5017</v>
      </c>
      <c r="R278" s="119" t="s">
        <v>35</v>
      </c>
      <c r="S278" s="119" t="s">
        <v>35</v>
      </c>
      <c r="T278" s="119" t="s">
        <v>35</v>
      </c>
      <c r="U278" s="119" t="s">
        <v>35</v>
      </c>
      <c r="V278" s="119" t="s">
        <v>35</v>
      </c>
      <c r="W278" s="119" t="s">
        <v>35</v>
      </c>
      <c r="X278" s="119" t="s">
        <v>35</v>
      </c>
      <c r="Y278" s="119" t="s">
        <v>35</v>
      </c>
      <c r="Z278" s="119" t="s">
        <v>35</v>
      </c>
      <c r="AA278" s="119" t="s">
        <v>35</v>
      </c>
      <c r="AB278" s="119" t="s">
        <v>35</v>
      </c>
      <c r="AC278" s="119" t="s">
        <v>35</v>
      </c>
      <c r="AD278" s="119" t="s">
        <v>35</v>
      </c>
      <c r="AE278" s="119" t="s">
        <v>35</v>
      </c>
      <c r="AF278" s="119" t="s">
        <v>35</v>
      </c>
      <c r="AG278" s="119" t="s">
        <v>35</v>
      </c>
      <c r="AH278" s="119" t="s">
        <v>35</v>
      </c>
      <c r="AI278" s="119" t="s">
        <v>35</v>
      </c>
      <c r="AJ278" s="119" t="s">
        <v>35</v>
      </c>
    </row>
    <row r="279" spans="1:36" ht="18.75" customHeight="1" x14ac:dyDescent="0.25">
      <c r="A279" s="125" t="s">
        <v>201</v>
      </c>
      <c r="B279" s="329" t="s">
        <v>200</v>
      </c>
      <c r="C279" s="329" t="s">
        <v>199</v>
      </c>
      <c r="D279" s="329" t="s">
        <v>5018</v>
      </c>
      <c r="E279" s="329" t="s">
        <v>2977</v>
      </c>
      <c r="F279" s="329" t="s">
        <v>3651</v>
      </c>
      <c r="G279" s="329" t="s">
        <v>3136</v>
      </c>
      <c r="H279" s="329" t="s">
        <v>5019</v>
      </c>
      <c r="I279" s="329">
        <v>253</v>
      </c>
      <c r="J279" s="330" t="s">
        <v>3643</v>
      </c>
      <c r="K279" s="330" t="s">
        <v>35</v>
      </c>
      <c r="L279" s="329" t="s">
        <v>2980</v>
      </c>
      <c r="M279" s="329" t="s">
        <v>5020</v>
      </c>
      <c r="N279" s="329" t="s">
        <v>5021</v>
      </c>
      <c r="O279" s="329" t="s">
        <v>35</v>
      </c>
      <c r="P279" s="329" t="s">
        <v>5022</v>
      </c>
      <c r="Q279" s="329" t="s">
        <v>3389</v>
      </c>
      <c r="R279" s="329" t="s">
        <v>7</v>
      </c>
      <c r="S279" s="329" t="s">
        <v>7</v>
      </c>
      <c r="T279" s="329" t="s">
        <v>5023</v>
      </c>
      <c r="U279" s="329" t="s">
        <v>3057</v>
      </c>
      <c r="V279" s="329" t="s">
        <v>3057</v>
      </c>
      <c r="W279" s="329" t="s">
        <v>3057</v>
      </c>
      <c r="X279" s="329" t="s">
        <v>3059</v>
      </c>
      <c r="Y279" s="329" t="s">
        <v>3057</v>
      </c>
      <c r="Z279" s="329" t="s">
        <v>3707</v>
      </c>
      <c r="AA279" s="329" t="s">
        <v>5024</v>
      </c>
      <c r="AB279" s="329" t="s">
        <v>5025</v>
      </c>
      <c r="AC279" s="329" t="s">
        <v>5026</v>
      </c>
      <c r="AD279" s="329" t="s">
        <v>3066</v>
      </c>
      <c r="AE279" s="329" t="s">
        <v>3066</v>
      </c>
      <c r="AF279" s="329" t="s">
        <v>3066</v>
      </c>
      <c r="AG279" s="329" t="s">
        <v>5027</v>
      </c>
      <c r="AH279" s="329" t="s">
        <v>5028</v>
      </c>
      <c r="AI279" s="329" t="s">
        <v>5029</v>
      </c>
      <c r="AJ279" s="329" t="s">
        <v>3066</v>
      </c>
    </row>
    <row r="280" spans="1:36" ht="18.75" customHeight="1" x14ac:dyDescent="0.25">
      <c r="A280" s="262" t="s">
        <v>5030</v>
      </c>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row>
    <row r="281" spans="1:36" ht="18.75" customHeight="1" x14ac:dyDescent="0.25">
      <c r="A281" s="253" t="s">
        <v>5031</v>
      </c>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row>
    <row r="282" spans="1:36" ht="18.75" customHeight="1" x14ac:dyDescent="0.25">
      <c r="A282" s="331" t="s">
        <v>5032</v>
      </c>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row>
    <row r="283" spans="1:36" ht="18.75" customHeight="1" x14ac:dyDescent="0.25">
      <c r="A283" s="262" t="s">
        <v>5033</v>
      </c>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row>
    <row r="284" spans="1:36" ht="18.75" customHeight="1" x14ac:dyDescent="0.25">
      <c r="A284" s="115" t="s">
        <v>5034</v>
      </c>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row>
    <row r="285" spans="1:36" ht="18.75" customHeight="1" x14ac:dyDescent="0.25">
      <c r="A285" s="115" t="s">
        <v>5035</v>
      </c>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row>
    <row r="286" spans="1:36" ht="18.75" customHeight="1" x14ac:dyDescent="0.25">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row>
    <row r="287" spans="1:36" ht="18.75" customHeight="1" x14ac:dyDescent="0.25">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row>
    <row r="288" spans="1:36" ht="18.75" customHeight="1" x14ac:dyDescent="0.25">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row>
    <row r="289" spans="1:36" ht="18.75" customHeight="1" x14ac:dyDescent="0.25">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row>
    <row r="290" spans="1:36" ht="18.75" customHeight="1" x14ac:dyDescent="0.25">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row>
    <row r="291" spans="1:36" ht="18.75" customHeight="1" x14ac:dyDescent="0.25">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row>
    <row r="292" spans="1:36" ht="18.75" customHeight="1" x14ac:dyDescent="0.25">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row>
    <row r="293" spans="1:36" ht="18.75" customHeight="1" x14ac:dyDescent="0.25">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row>
    <row r="294" spans="1:36" ht="18.75" customHeight="1" x14ac:dyDescent="0.25">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row>
    <row r="295" spans="1:36" ht="18.75" customHeight="1" x14ac:dyDescent="0.25">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row>
    <row r="296" spans="1:36" ht="18.75" customHeight="1" x14ac:dyDescent="0.25">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row>
    <row r="297" spans="1:36" ht="18.75" customHeight="1" x14ac:dyDescent="0.25">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row>
    <row r="298" spans="1:36" ht="18.75" customHeight="1" x14ac:dyDescent="0.25">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row>
    <row r="299" spans="1:36" ht="18.75" customHeight="1" x14ac:dyDescent="0.25">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row>
    <row r="300" spans="1:36" ht="18.75" customHeight="1" x14ac:dyDescent="0.25">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row>
    <row r="301" spans="1:36" ht="18.75" customHeight="1" x14ac:dyDescent="0.25">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row>
    <row r="302" spans="1:36" ht="18.75" customHeight="1" x14ac:dyDescent="0.25">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row>
    <row r="303" spans="1:36" ht="18.75" customHeight="1" x14ac:dyDescent="0.25">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row>
    <row r="304" spans="1:36" ht="18.75" customHeight="1" x14ac:dyDescent="0.25">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row>
    <row r="305" spans="1:36" ht="18.75" customHeight="1" x14ac:dyDescent="0.25">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row>
    <row r="306" spans="1:36" ht="18.75" customHeight="1" x14ac:dyDescent="0.25">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row>
    <row r="307" spans="1:36" ht="18.75" customHeight="1" x14ac:dyDescent="0.25">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row>
    <row r="308" spans="1:36" ht="18.75" customHeight="1" x14ac:dyDescent="0.25">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row>
    <row r="309" spans="1:36" ht="18.75" customHeight="1" x14ac:dyDescent="0.25">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row>
    <row r="310" spans="1:36" ht="18.75" customHeight="1" x14ac:dyDescent="0.25">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row>
    <row r="311" spans="1:36" ht="18.75" customHeight="1" x14ac:dyDescent="0.25">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row>
    <row r="312" spans="1:36" ht="18.75" customHeight="1" x14ac:dyDescent="0.25">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row>
    <row r="313" spans="1:36" ht="18.75" customHeight="1" x14ac:dyDescent="0.25">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row>
    <row r="314" spans="1:36" ht="18.75" customHeight="1" x14ac:dyDescent="0.25">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row>
    <row r="315" spans="1:36" ht="18.75" customHeight="1" x14ac:dyDescent="0.25">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row>
    <row r="316" spans="1:36" ht="18.75" customHeight="1" x14ac:dyDescent="0.25">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row>
    <row r="317" spans="1:36" ht="18.75" customHeight="1" x14ac:dyDescent="0.25">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row>
    <row r="318" spans="1:36" ht="18.75" customHeight="1" x14ac:dyDescent="0.25">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row>
    <row r="319" spans="1:36" ht="18.75" customHeight="1" x14ac:dyDescent="0.25">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row>
    <row r="320" spans="1:36" ht="18.75" customHeight="1" x14ac:dyDescent="0.25">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row>
    <row r="321" spans="1:36" ht="18.75" customHeight="1" x14ac:dyDescent="0.25">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row>
    <row r="322" spans="1:36" ht="18.75" customHeight="1" x14ac:dyDescent="0.25">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row>
    <row r="323" spans="1:36" ht="18.75" customHeight="1" x14ac:dyDescent="0.25">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row>
    <row r="324" spans="1:36" ht="18.75" customHeight="1" x14ac:dyDescent="0.25">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row>
    <row r="325" spans="1:36" ht="18.75" customHeight="1" x14ac:dyDescent="0.25">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row>
    <row r="326" spans="1:36" ht="18.75" customHeight="1" x14ac:dyDescent="0.25">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row>
    <row r="327" spans="1:36" ht="18.75" customHeight="1" x14ac:dyDescent="0.25">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row>
    <row r="328" spans="1:36" ht="18.75" customHeight="1" x14ac:dyDescent="0.25">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row>
    <row r="329" spans="1:36" ht="18.75" customHeight="1" x14ac:dyDescent="0.25">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row>
    <row r="330" spans="1:36" ht="18.75" customHeight="1" x14ac:dyDescent="0.25">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row>
    <row r="331" spans="1:36" ht="18.75" customHeight="1" x14ac:dyDescent="0.25">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row>
    <row r="332" spans="1:36" ht="18.75" customHeight="1" x14ac:dyDescent="0.25">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row>
    <row r="333" spans="1:36" ht="18.75" customHeight="1" x14ac:dyDescent="0.25">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row>
    <row r="334" spans="1:36" ht="18.75" customHeight="1" x14ac:dyDescent="0.25">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row>
    <row r="335" spans="1:36" ht="18.75" customHeight="1" x14ac:dyDescent="0.25">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row>
    <row r="336" spans="1:36" ht="18.75" customHeight="1" x14ac:dyDescent="0.25">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row>
    <row r="337" spans="1:36" ht="18.75" customHeight="1" x14ac:dyDescent="0.25">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row>
    <row r="338" spans="1:36" ht="18.75" customHeight="1" x14ac:dyDescent="0.25">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row>
    <row r="339" spans="1:36" ht="18.75" customHeight="1" x14ac:dyDescent="0.25">
      <c r="B339" s="807"/>
      <c r="C339" s="807"/>
      <c r="D339" s="807"/>
      <c r="E339" s="807"/>
      <c r="F339" s="807"/>
      <c r="G339" s="807"/>
      <c r="H339" s="807"/>
      <c r="I339" s="807"/>
      <c r="J339" s="807"/>
      <c r="K339" s="807"/>
      <c r="L339" s="807"/>
      <c r="M339" s="807"/>
      <c r="N339" s="807"/>
      <c r="O339" s="807"/>
      <c r="P339" s="807"/>
      <c r="Q339" s="807"/>
      <c r="R339" s="807"/>
      <c r="S339" s="807"/>
      <c r="T339" s="807"/>
      <c r="U339" s="807"/>
      <c r="V339" s="807"/>
      <c r="W339" s="807"/>
      <c r="X339" s="807"/>
      <c r="Y339" s="807"/>
      <c r="Z339" s="807"/>
      <c r="AA339" s="807"/>
      <c r="AB339" s="807"/>
      <c r="AC339" s="807"/>
      <c r="AD339" s="807"/>
      <c r="AE339" s="807"/>
      <c r="AF339" s="807"/>
      <c r="AG339" s="807"/>
      <c r="AH339" s="807"/>
      <c r="AI339" s="807"/>
      <c r="AJ339" s="807"/>
    </row>
    <row r="340" spans="1:36" ht="18.75" customHeight="1" x14ac:dyDescent="0.25">
      <c r="B340" s="807"/>
      <c r="C340" s="807"/>
      <c r="D340" s="807"/>
      <c r="E340" s="807"/>
      <c r="F340" s="807"/>
      <c r="G340" s="807"/>
      <c r="H340" s="807"/>
      <c r="I340" s="807"/>
      <c r="J340" s="807"/>
      <c r="K340" s="807"/>
      <c r="L340" s="807"/>
      <c r="M340" s="807"/>
      <c r="N340" s="807"/>
      <c r="O340" s="807"/>
      <c r="P340" s="807"/>
      <c r="Q340" s="807"/>
      <c r="R340" s="807"/>
      <c r="S340" s="807"/>
      <c r="T340" s="807"/>
      <c r="U340" s="807"/>
      <c r="V340" s="807"/>
      <c r="W340" s="807"/>
      <c r="X340" s="807"/>
      <c r="Y340" s="807"/>
      <c r="Z340" s="807"/>
      <c r="AA340" s="807"/>
      <c r="AB340" s="807"/>
      <c r="AC340" s="807"/>
      <c r="AD340" s="807"/>
      <c r="AE340" s="807"/>
      <c r="AF340" s="807"/>
      <c r="AG340" s="807"/>
      <c r="AH340" s="807"/>
      <c r="AI340" s="807"/>
      <c r="AJ340" s="807"/>
    </row>
    <row r="341" spans="1:36" ht="18.75" customHeight="1" x14ac:dyDescent="0.25">
      <c r="B341" s="807"/>
      <c r="C341" s="807"/>
      <c r="D341" s="807"/>
      <c r="E341" s="807"/>
      <c r="F341" s="807"/>
      <c r="G341" s="807"/>
      <c r="H341" s="807"/>
      <c r="I341" s="807"/>
      <c r="J341" s="807"/>
      <c r="K341" s="807"/>
      <c r="L341" s="807"/>
      <c r="M341" s="807"/>
      <c r="N341" s="807"/>
      <c r="O341" s="807"/>
      <c r="P341" s="807"/>
      <c r="Q341" s="807"/>
      <c r="R341" s="807"/>
      <c r="S341" s="807"/>
      <c r="T341" s="807"/>
      <c r="U341" s="807"/>
      <c r="V341" s="807"/>
      <c r="W341" s="807"/>
      <c r="X341" s="807"/>
      <c r="Y341" s="807"/>
      <c r="Z341" s="807"/>
      <c r="AA341" s="807"/>
      <c r="AB341" s="807"/>
      <c r="AC341" s="807"/>
      <c r="AD341" s="807"/>
      <c r="AE341" s="807"/>
      <c r="AF341" s="807"/>
      <c r="AG341" s="807"/>
      <c r="AH341" s="807"/>
      <c r="AI341" s="807"/>
      <c r="AJ341" s="807"/>
    </row>
    <row r="342" spans="1:36" ht="18.75" customHeight="1" x14ac:dyDescent="0.25">
      <c r="B342" s="807"/>
      <c r="C342" s="807"/>
      <c r="D342" s="807"/>
      <c r="E342" s="807"/>
      <c r="F342" s="807"/>
      <c r="G342" s="807"/>
      <c r="H342" s="807"/>
      <c r="I342" s="807"/>
      <c r="J342" s="807"/>
      <c r="K342" s="807"/>
      <c r="L342" s="807"/>
      <c r="M342" s="807"/>
      <c r="N342" s="807"/>
      <c r="O342" s="807"/>
      <c r="P342" s="807"/>
      <c r="Q342" s="807"/>
      <c r="R342" s="807"/>
      <c r="S342" s="807"/>
      <c r="T342" s="807"/>
      <c r="U342" s="807"/>
      <c r="V342" s="807"/>
      <c r="W342" s="807"/>
      <c r="X342" s="807"/>
      <c r="Y342" s="807"/>
      <c r="Z342" s="807"/>
      <c r="AA342" s="807"/>
      <c r="AB342" s="807"/>
      <c r="AC342" s="807"/>
      <c r="AD342" s="807"/>
      <c r="AE342" s="807"/>
      <c r="AF342" s="807"/>
      <c r="AG342" s="807"/>
      <c r="AH342" s="807"/>
      <c r="AI342" s="807"/>
      <c r="AJ342" s="807"/>
    </row>
  </sheetData>
  <mergeCells count="3">
    <mergeCell ref="A2:A3"/>
    <mergeCell ref="B2:B3"/>
    <mergeCell ref="C2:C3"/>
  </mergeCells>
  <phoneticPr fontId="101" type="noConversion"/>
  <pageMargins left="0.7" right="0.7" top="0.75" bottom="0.75" header="0.3" footer="0.3"/>
  <ignoredErrors>
    <ignoredError sqref="F131:F263 F264:F281 F5:F30 F70:F130 F31:F69" numberStoredAsText="1"/>
    <ignoredError sqref="J108:J109" twoDigitTextYea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8"/>
  <sheetViews>
    <sheetView workbookViewId="0">
      <selection activeCell="H12" sqref="H12"/>
    </sheetView>
  </sheetViews>
  <sheetFormatPr defaultColWidth="8.7109375" defaultRowHeight="15" x14ac:dyDescent="0.25"/>
  <cols>
    <col min="1" max="1" width="8.7109375" style="783"/>
    <col min="2" max="2" width="14.42578125" style="783" customWidth="1"/>
    <col min="3" max="3" width="12.140625" style="783" customWidth="1"/>
    <col min="4" max="4" width="7" style="783" customWidth="1"/>
    <col min="5" max="5" width="5.7109375" style="783" customWidth="1"/>
    <col min="6" max="6" width="8.7109375" style="60" customWidth="1"/>
    <col min="7" max="7" width="10" style="783" customWidth="1"/>
    <col min="8" max="8" width="10.140625" style="784" customWidth="1"/>
    <col min="9" max="9" width="22.28515625" style="785" customWidth="1"/>
    <col min="10" max="10" width="7.7109375" style="630" customWidth="1"/>
    <col min="11" max="11" width="7.7109375" style="783" customWidth="1"/>
    <col min="12" max="12" width="6.42578125" style="783" customWidth="1"/>
    <col min="13" max="13" width="9.42578125" style="783" customWidth="1"/>
    <col min="14" max="14" width="6" style="783" customWidth="1"/>
    <col min="15" max="15" width="8.85546875" style="630" customWidth="1"/>
    <col min="16" max="16" width="7.42578125" style="783" customWidth="1"/>
    <col min="17" max="17" width="6.42578125" style="783" customWidth="1"/>
    <col min="18" max="18" width="9.42578125" style="783" customWidth="1"/>
    <col min="19" max="19" width="7.28515625" style="783" customWidth="1"/>
    <col min="20" max="20" width="7" style="783" customWidth="1"/>
    <col min="21" max="21" width="8.7109375" style="783"/>
    <col min="22" max="22" width="13.140625" style="783" bestFit="1" customWidth="1"/>
    <col min="23" max="16384" width="8.7109375" style="783"/>
  </cols>
  <sheetData>
    <row r="1" spans="1:24" s="784" customFormat="1" ht="17.25" x14ac:dyDescent="0.25">
      <c r="A1" s="791" t="s">
        <v>5563</v>
      </c>
      <c r="B1" s="815"/>
      <c r="C1" s="815"/>
      <c r="D1" s="815"/>
      <c r="E1" s="792"/>
      <c r="F1" s="879"/>
      <c r="G1" s="815"/>
      <c r="H1" s="793"/>
      <c r="I1" s="612"/>
      <c r="J1" s="815"/>
      <c r="K1" s="815"/>
      <c r="L1" s="815"/>
      <c r="M1" s="611"/>
      <c r="N1" s="612"/>
      <c r="O1" s="611"/>
      <c r="P1" s="612"/>
      <c r="Q1" s="815"/>
      <c r="R1" s="815"/>
      <c r="S1" s="611"/>
      <c r="T1" s="611"/>
      <c r="U1" s="611"/>
      <c r="V1" s="612"/>
      <c r="W1" s="815"/>
      <c r="X1" s="612"/>
    </row>
    <row r="2" spans="1:24" x14ac:dyDescent="0.25">
      <c r="A2" s="801"/>
      <c r="B2" s="801"/>
      <c r="C2" s="801"/>
      <c r="D2" s="801"/>
      <c r="E2" s="801"/>
      <c r="G2" s="801"/>
      <c r="H2" s="807" t="s">
        <v>1</v>
      </c>
      <c r="I2" s="794" t="s">
        <v>1</v>
      </c>
      <c r="K2" s="801"/>
      <c r="L2" s="801"/>
      <c r="M2" s="801"/>
      <c r="N2" s="801"/>
      <c r="P2" s="801"/>
      <c r="Q2" s="801"/>
      <c r="R2" s="801"/>
      <c r="S2" s="801"/>
      <c r="T2" s="801"/>
      <c r="U2" s="801"/>
      <c r="V2" s="801"/>
      <c r="W2" s="801"/>
      <c r="X2" s="801"/>
    </row>
    <row r="3" spans="1:24" ht="56.1" customHeight="1" x14ac:dyDescent="0.25">
      <c r="A3" s="1255" t="s">
        <v>5269</v>
      </c>
      <c r="B3" s="1255" t="s">
        <v>233</v>
      </c>
      <c r="C3" s="1258" t="s">
        <v>3</v>
      </c>
      <c r="D3" s="1255" t="s">
        <v>234</v>
      </c>
      <c r="E3" s="1255" t="s">
        <v>5</v>
      </c>
      <c r="F3" s="1255" t="s">
        <v>5262</v>
      </c>
      <c r="G3" s="1255" t="s">
        <v>235</v>
      </c>
      <c r="H3" s="1260" t="s">
        <v>236</v>
      </c>
      <c r="I3" s="1260" t="s">
        <v>237</v>
      </c>
      <c r="J3" s="1262" t="s">
        <v>238</v>
      </c>
      <c r="K3" s="1264" t="s">
        <v>239</v>
      </c>
      <c r="L3" s="1265"/>
      <c r="M3" s="1265"/>
      <c r="N3" s="1265"/>
      <c r="O3" s="1265"/>
      <c r="P3" s="1253" t="s">
        <v>240</v>
      </c>
      <c r="Q3" s="1254"/>
      <c r="R3" s="1254"/>
      <c r="S3" s="1254"/>
      <c r="T3" s="1254"/>
      <c r="U3" s="801"/>
      <c r="V3" s="801"/>
      <c r="W3" s="801"/>
      <c r="X3" s="801"/>
    </row>
    <row r="4" spans="1:24" ht="48" thickBot="1" x14ac:dyDescent="0.3">
      <c r="A4" s="1256"/>
      <c r="B4" s="1257"/>
      <c r="C4" s="1259"/>
      <c r="D4" s="1257"/>
      <c r="E4" s="1257"/>
      <c r="F4" s="1257"/>
      <c r="G4" s="1257"/>
      <c r="H4" s="1261"/>
      <c r="I4" s="1261"/>
      <c r="J4" s="1263"/>
      <c r="K4" s="795" t="s">
        <v>7</v>
      </c>
      <c r="L4" s="796" t="s">
        <v>241</v>
      </c>
      <c r="M4" s="310" t="s">
        <v>242</v>
      </c>
      <c r="N4" s="797" t="s">
        <v>10</v>
      </c>
      <c r="O4" s="798" t="s">
        <v>11</v>
      </c>
      <c r="P4" s="795" t="s">
        <v>7</v>
      </c>
      <c r="Q4" s="796" t="s">
        <v>241</v>
      </c>
      <c r="R4" s="310" t="s">
        <v>242</v>
      </c>
      <c r="S4" s="797" t="s">
        <v>243</v>
      </c>
      <c r="T4" s="798" t="s">
        <v>11</v>
      </c>
      <c r="U4" s="801"/>
      <c r="V4" s="801"/>
      <c r="W4" s="801"/>
      <c r="X4" s="801"/>
    </row>
    <row r="5" spans="1:24" ht="22.5" customHeight="1" thickTop="1" x14ac:dyDescent="0.25">
      <c r="A5" s="1248" t="s">
        <v>272</v>
      </c>
      <c r="B5" s="1248"/>
      <c r="C5" s="1248"/>
      <c r="D5" s="1248"/>
      <c r="E5" s="1248"/>
      <c r="F5" s="1248"/>
      <c r="G5" s="1248"/>
      <c r="H5" s="1248"/>
      <c r="I5" s="1248"/>
      <c r="J5" s="1248"/>
      <c r="K5" s="1248"/>
      <c r="L5" s="1248"/>
      <c r="M5" s="1248"/>
      <c r="N5" s="1248"/>
      <c r="O5" s="1248"/>
      <c r="P5" s="1248"/>
      <c r="Q5" s="1248"/>
      <c r="R5" s="1248"/>
      <c r="S5" s="1248"/>
      <c r="T5" s="1249"/>
      <c r="U5" s="801"/>
      <c r="V5" s="801"/>
      <c r="W5" s="801"/>
      <c r="X5" s="801"/>
    </row>
    <row r="6" spans="1:24" s="633" customFormat="1" ht="14.85" customHeight="1" x14ac:dyDescent="0.25">
      <c r="A6" s="1242" t="s">
        <v>244</v>
      </c>
      <c r="B6" s="1242"/>
      <c r="C6" s="1242"/>
      <c r="D6" s="1242"/>
      <c r="E6" s="1242"/>
      <c r="F6" s="1242"/>
      <c r="G6" s="1242"/>
      <c r="H6" s="1242"/>
      <c r="I6" s="1242"/>
      <c r="J6" s="1242"/>
      <c r="K6" s="1242"/>
      <c r="L6" s="1242"/>
      <c r="M6" s="1242"/>
      <c r="N6" s="1242"/>
      <c r="O6" s="1242"/>
      <c r="P6" s="1242"/>
      <c r="Q6" s="1242"/>
      <c r="R6" s="1242"/>
      <c r="S6" s="1242"/>
      <c r="T6" s="1243"/>
      <c r="U6" s="810"/>
      <c r="V6" s="810"/>
      <c r="W6" s="810"/>
      <c r="X6" s="810"/>
    </row>
    <row r="7" spans="1:24" x14ac:dyDescent="0.25">
      <c r="A7" s="810">
        <v>1</v>
      </c>
      <c r="B7" s="810" t="s">
        <v>245</v>
      </c>
      <c r="C7" s="810" t="s">
        <v>246</v>
      </c>
      <c r="D7" s="810" t="s">
        <v>16</v>
      </c>
      <c r="E7" s="810" t="s">
        <v>24</v>
      </c>
      <c r="F7" s="199" t="s">
        <v>247</v>
      </c>
      <c r="G7" s="810" t="s">
        <v>248</v>
      </c>
      <c r="H7" s="816" t="s">
        <v>249</v>
      </c>
      <c r="I7" s="810" t="s">
        <v>35</v>
      </c>
      <c r="J7" s="935">
        <v>1.53E-6</v>
      </c>
      <c r="K7" s="895">
        <v>203009</v>
      </c>
      <c r="L7" s="896">
        <v>5.4999999999999997E-3</v>
      </c>
      <c r="M7" s="896">
        <v>0.12989999999999999</v>
      </c>
      <c r="N7" s="896">
        <v>2.4E-2</v>
      </c>
      <c r="O7" s="937">
        <v>6.1399999999999994E-8</v>
      </c>
      <c r="P7" s="634">
        <v>221390</v>
      </c>
      <c r="Q7" s="735">
        <v>3.5999999999999999E-3</v>
      </c>
      <c r="R7" s="735">
        <v>-4.3799999999999999E-2</v>
      </c>
      <c r="S7" s="735">
        <v>2.7400000000000001E-2</v>
      </c>
      <c r="T7" s="799">
        <v>0.10970000000000001</v>
      </c>
      <c r="U7" s="721"/>
      <c r="V7" s="801"/>
      <c r="W7" s="801"/>
      <c r="X7" s="801"/>
    </row>
    <row r="8" spans="1:24" x14ac:dyDescent="0.25">
      <c r="A8" s="810">
        <v>2</v>
      </c>
      <c r="B8" s="810" t="s">
        <v>250</v>
      </c>
      <c r="C8" s="810" t="s">
        <v>251</v>
      </c>
      <c r="D8" s="810" t="s">
        <v>16</v>
      </c>
      <c r="E8" s="810" t="s">
        <v>24</v>
      </c>
      <c r="F8" s="199" t="s">
        <v>252</v>
      </c>
      <c r="G8" s="810" t="s">
        <v>253</v>
      </c>
      <c r="H8" s="816" t="s">
        <v>249</v>
      </c>
      <c r="I8" s="810" t="s">
        <v>35</v>
      </c>
      <c r="J8" s="935">
        <v>2.6069999999999999E-4</v>
      </c>
      <c r="K8" s="895">
        <v>226646</v>
      </c>
      <c r="L8" s="896">
        <v>0.20169999999999999</v>
      </c>
      <c r="M8" s="896">
        <v>2.06E-2</v>
      </c>
      <c r="N8" s="896">
        <v>3.7000000000000002E-3</v>
      </c>
      <c r="O8" s="937">
        <v>2.6000000000000001E-8</v>
      </c>
      <c r="P8" s="634">
        <v>250018</v>
      </c>
      <c r="Q8" s="735">
        <v>0.1966</v>
      </c>
      <c r="R8" s="735">
        <v>1.9E-3</v>
      </c>
      <c r="S8" s="735">
        <v>3.5999999999999999E-3</v>
      </c>
      <c r="T8" s="799">
        <v>0.60629999999999995</v>
      </c>
      <c r="U8" s="801"/>
      <c r="V8" s="801"/>
      <c r="W8" s="801"/>
      <c r="X8" s="801"/>
    </row>
    <row r="9" spans="1:24" s="633" customFormat="1" x14ac:dyDescent="0.25">
      <c r="A9" s="1242" t="s">
        <v>254</v>
      </c>
      <c r="B9" s="1242"/>
      <c r="C9" s="1242"/>
      <c r="D9" s="1242"/>
      <c r="E9" s="1242"/>
      <c r="F9" s="1242"/>
      <c r="G9" s="1242"/>
      <c r="H9" s="1242"/>
      <c r="I9" s="1242"/>
      <c r="J9" s="1242"/>
      <c r="K9" s="1242"/>
      <c r="L9" s="1242"/>
      <c r="M9" s="1242"/>
      <c r="N9" s="1242"/>
      <c r="O9" s="1242"/>
      <c r="P9" s="1242"/>
      <c r="Q9" s="1242"/>
      <c r="R9" s="1242"/>
      <c r="S9" s="1242"/>
      <c r="T9" s="1243"/>
      <c r="U9" s="810"/>
      <c r="V9" s="810"/>
      <c r="W9" s="810"/>
      <c r="X9" s="810"/>
    </row>
    <row r="10" spans="1:24" x14ac:dyDescent="0.25">
      <c r="A10" s="810">
        <v>3</v>
      </c>
      <c r="B10" s="810" t="s">
        <v>256</v>
      </c>
      <c r="C10" s="810" t="s">
        <v>257</v>
      </c>
      <c r="D10" s="810" t="s">
        <v>24</v>
      </c>
      <c r="E10" s="810" t="s">
        <v>16</v>
      </c>
      <c r="F10" s="199" t="s">
        <v>258</v>
      </c>
      <c r="G10" s="810" t="s">
        <v>259</v>
      </c>
      <c r="H10" s="816" t="s">
        <v>249</v>
      </c>
      <c r="I10" s="810" t="s">
        <v>35</v>
      </c>
      <c r="J10" s="935">
        <v>9.7500000000000006E-8</v>
      </c>
      <c r="K10" s="895">
        <v>225803</v>
      </c>
      <c r="L10" s="896">
        <v>0.91439999999999999</v>
      </c>
      <c r="M10" s="896">
        <v>-5.1000000000000004E-3</v>
      </c>
      <c r="N10" s="896">
        <v>5.3E-3</v>
      </c>
      <c r="O10" s="894">
        <v>0.33939999999999998</v>
      </c>
      <c r="P10" s="895">
        <v>249471</v>
      </c>
      <c r="Q10" s="896">
        <v>0.91210000000000002</v>
      </c>
      <c r="R10" s="896">
        <v>3.3799999999999997E-2</v>
      </c>
      <c r="S10" s="896">
        <v>5.1000000000000004E-3</v>
      </c>
      <c r="T10" s="939">
        <v>4.46E-11</v>
      </c>
      <c r="U10" s="801"/>
      <c r="V10" s="801"/>
      <c r="W10" s="721"/>
      <c r="X10" s="801"/>
    </row>
    <row r="11" spans="1:24" x14ac:dyDescent="0.25">
      <c r="A11" s="810">
        <v>4</v>
      </c>
      <c r="B11" s="810" t="s">
        <v>31</v>
      </c>
      <c r="C11" s="810" t="s">
        <v>32</v>
      </c>
      <c r="D11" s="810" t="s">
        <v>23</v>
      </c>
      <c r="E11" s="810" t="s">
        <v>24</v>
      </c>
      <c r="F11" s="199" t="s">
        <v>33</v>
      </c>
      <c r="G11" s="810" t="s">
        <v>34</v>
      </c>
      <c r="H11" s="816" t="s">
        <v>255</v>
      </c>
      <c r="I11" s="810" t="s">
        <v>35</v>
      </c>
      <c r="J11" s="935">
        <v>1.7100000000000001E-7</v>
      </c>
      <c r="K11" s="895">
        <v>210071</v>
      </c>
      <c r="L11" s="896">
        <v>0.98899999999999999</v>
      </c>
      <c r="M11" s="896">
        <v>5.4999999999999997E-3</v>
      </c>
      <c r="N11" s="896">
        <v>1.52E-2</v>
      </c>
      <c r="O11" s="894">
        <v>0.71889999999999998</v>
      </c>
      <c r="P11" s="895">
        <v>245808</v>
      </c>
      <c r="Q11" s="896">
        <v>0.98880000000000001</v>
      </c>
      <c r="R11" s="896">
        <v>0.1134</v>
      </c>
      <c r="S11" s="896">
        <v>1.4200000000000001E-2</v>
      </c>
      <c r="T11" s="939">
        <v>1.6800000000000001E-15</v>
      </c>
      <c r="U11" s="801"/>
      <c r="V11" s="801"/>
      <c r="W11" s="801"/>
      <c r="X11" s="801"/>
    </row>
    <row r="12" spans="1:24" s="633" customFormat="1" x14ac:dyDescent="0.25">
      <c r="A12" s="635">
        <v>5</v>
      </c>
      <c r="B12" s="635" t="s">
        <v>260</v>
      </c>
      <c r="C12" s="635" t="s">
        <v>261</v>
      </c>
      <c r="D12" s="635" t="s">
        <v>24</v>
      </c>
      <c r="E12" s="635" t="s">
        <v>16</v>
      </c>
      <c r="F12" s="200" t="s">
        <v>262</v>
      </c>
      <c r="G12" s="635" t="s">
        <v>263</v>
      </c>
      <c r="H12" s="827" t="s">
        <v>249</v>
      </c>
      <c r="I12" s="800" t="s">
        <v>35</v>
      </c>
      <c r="J12" s="936">
        <v>1.3199999999999999E-7</v>
      </c>
      <c r="K12" s="898">
        <v>203098</v>
      </c>
      <c r="L12" s="899">
        <v>0.98050000000000004</v>
      </c>
      <c r="M12" s="899">
        <v>-1.6799999999999999E-2</v>
      </c>
      <c r="N12" s="899">
        <v>1.1299999999999999E-2</v>
      </c>
      <c r="O12" s="897">
        <v>0.13780000000000001</v>
      </c>
      <c r="P12" s="898">
        <v>243351</v>
      </c>
      <c r="Q12" s="899">
        <v>0.98099999999999998</v>
      </c>
      <c r="R12" s="899">
        <v>6.4299999999999996E-2</v>
      </c>
      <c r="S12" s="899">
        <v>1.06E-2</v>
      </c>
      <c r="T12" s="940">
        <v>1.2E-9</v>
      </c>
      <c r="U12" s="810"/>
      <c r="V12" s="810"/>
      <c r="W12" s="810"/>
      <c r="X12" s="810"/>
    </row>
    <row r="13" spans="1:24" s="633" customFormat="1" ht="21.6" customHeight="1" x14ac:dyDescent="0.25">
      <c r="A13" s="1237" t="s">
        <v>273</v>
      </c>
      <c r="B13" s="1237"/>
      <c r="C13" s="1237"/>
      <c r="D13" s="1237"/>
      <c r="E13" s="1237"/>
      <c r="F13" s="1237"/>
      <c r="G13" s="1237"/>
      <c r="H13" s="1237"/>
      <c r="I13" s="1237"/>
      <c r="J13" s="1237"/>
      <c r="K13" s="1237"/>
      <c r="L13" s="1237"/>
      <c r="M13" s="1237"/>
      <c r="N13" s="1237"/>
      <c r="O13" s="1237"/>
      <c r="P13" s="1237"/>
      <c r="Q13" s="1237"/>
      <c r="R13" s="1237"/>
      <c r="S13" s="1237"/>
      <c r="T13" s="1250"/>
      <c r="U13" s="810"/>
      <c r="V13" s="810"/>
      <c r="W13" s="810"/>
      <c r="X13" s="810"/>
    </row>
    <row r="14" spans="1:24" s="633" customFormat="1" x14ac:dyDescent="0.25">
      <c r="A14" s="1242" t="s">
        <v>254</v>
      </c>
      <c r="B14" s="1242"/>
      <c r="C14" s="1242"/>
      <c r="D14" s="1242"/>
      <c r="E14" s="1242"/>
      <c r="F14" s="1242"/>
      <c r="G14" s="1242"/>
      <c r="H14" s="1242"/>
      <c r="I14" s="1242"/>
      <c r="J14" s="1242"/>
      <c r="K14" s="1242"/>
      <c r="L14" s="1242"/>
      <c r="M14" s="1242"/>
      <c r="N14" s="1242"/>
      <c r="O14" s="1242"/>
      <c r="P14" s="1242"/>
      <c r="Q14" s="1242"/>
      <c r="R14" s="1242"/>
      <c r="S14" s="1242"/>
      <c r="T14" s="1243"/>
      <c r="U14" s="810"/>
      <c r="V14" s="810"/>
      <c r="W14" s="810"/>
      <c r="X14" s="810"/>
    </row>
    <row r="15" spans="1:24" x14ac:dyDescent="0.25">
      <c r="A15" s="810">
        <v>1</v>
      </c>
      <c r="B15" s="810" t="s">
        <v>26</v>
      </c>
      <c r="C15" s="810" t="s">
        <v>27</v>
      </c>
      <c r="D15" s="810" t="s">
        <v>17</v>
      </c>
      <c r="E15" s="810" t="s">
        <v>23</v>
      </c>
      <c r="F15" s="199" t="s">
        <v>28</v>
      </c>
      <c r="G15" s="810" t="s">
        <v>29</v>
      </c>
      <c r="H15" s="816" t="s">
        <v>255</v>
      </c>
      <c r="I15" s="806" t="s">
        <v>30</v>
      </c>
      <c r="J15" s="935">
        <v>7.9100000000000003E-7</v>
      </c>
      <c r="K15" s="895">
        <v>226709</v>
      </c>
      <c r="L15" s="896">
        <v>0.97509999999999997</v>
      </c>
      <c r="M15" s="896">
        <v>3.8E-3</v>
      </c>
      <c r="N15" s="896">
        <v>9.5999999999999992E-3</v>
      </c>
      <c r="O15" s="894">
        <v>0.68769999999999998</v>
      </c>
      <c r="P15" s="895">
        <v>250084</v>
      </c>
      <c r="Q15" s="896">
        <v>0.97719999999999996</v>
      </c>
      <c r="R15" s="896">
        <v>7.0300000000000001E-2</v>
      </c>
      <c r="S15" s="896">
        <v>9.5999999999999992E-3</v>
      </c>
      <c r="T15" s="939">
        <v>2.3400000000000001E-13</v>
      </c>
      <c r="U15" s="801"/>
      <c r="V15" s="722" t="s">
        <v>1</v>
      </c>
      <c r="W15" s="722" t="s">
        <v>1</v>
      </c>
      <c r="X15" s="801"/>
    </row>
    <row r="16" spans="1:24" ht="45" x14ac:dyDescent="0.25">
      <c r="A16" s="810">
        <v>2</v>
      </c>
      <c r="B16" s="810" t="s">
        <v>36</v>
      </c>
      <c r="C16" s="810" t="s">
        <v>37</v>
      </c>
      <c r="D16" s="810" t="s">
        <v>23</v>
      </c>
      <c r="E16" s="810" t="s">
        <v>17</v>
      </c>
      <c r="F16" s="199" t="s">
        <v>38</v>
      </c>
      <c r="G16" s="810" t="s">
        <v>39</v>
      </c>
      <c r="H16" s="816" t="s">
        <v>255</v>
      </c>
      <c r="I16" s="806" t="s">
        <v>40</v>
      </c>
      <c r="J16" s="935">
        <v>3.010203E-30</v>
      </c>
      <c r="K16" s="895">
        <v>173600</v>
      </c>
      <c r="L16" s="896">
        <v>0.87960000000000005</v>
      </c>
      <c r="M16" s="896">
        <v>-1.78E-2</v>
      </c>
      <c r="N16" s="896">
        <v>5.1999999999999998E-3</v>
      </c>
      <c r="O16" s="894">
        <v>5.754E-4</v>
      </c>
      <c r="P16" s="895">
        <v>216636</v>
      </c>
      <c r="Q16" s="896">
        <v>0.87809999999999999</v>
      </c>
      <c r="R16" s="896">
        <v>6.2300000000000001E-2</v>
      </c>
      <c r="S16" s="896">
        <v>4.7999999999999996E-3</v>
      </c>
      <c r="T16" s="939">
        <v>6.6899999999999997E-39</v>
      </c>
      <c r="U16" s="801"/>
      <c r="V16" s="801"/>
      <c r="W16" s="801"/>
      <c r="X16" s="801"/>
    </row>
    <row r="17" spans="1:23" ht="14.25" customHeight="1" x14ac:dyDescent="0.25">
      <c r="A17" s="1246">
        <v>3</v>
      </c>
      <c r="B17" s="810" t="s">
        <v>57</v>
      </c>
      <c r="C17" s="810" t="s">
        <v>58</v>
      </c>
      <c r="D17" s="810" t="s">
        <v>17</v>
      </c>
      <c r="E17" s="810" t="s">
        <v>23</v>
      </c>
      <c r="F17" s="874" t="s">
        <v>917</v>
      </c>
      <c r="G17" s="810" t="s">
        <v>59</v>
      </c>
      <c r="H17" s="816" t="s">
        <v>255</v>
      </c>
      <c r="I17" s="1247" t="s">
        <v>60</v>
      </c>
      <c r="J17" s="935">
        <v>9.31E-5</v>
      </c>
      <c r="K17" s="895">
        <v>226690</v>
      </c>
      <c r="L17" s="896">
        <v>0.93669999999999998</v>
      </c>
      <c r="M17" s="896">
        <v>1.7999999999999999E-2</v>
      </c>
      <c r="N17" s="896">
        <v>6.1000000000000004E-3</v>
      </c>
      <c r="O17" s="894">
        <v>3.0620000000000001E-3</v>
      </c>
      <c r="P17" s="895">
        <v>250045</v>
      </c>
      <c r="Q17" s="896">
        <v>0.93559999999999999</v>
      </c>
      <c r="R17" s="896">
        <v>5.0900000000000001E-2</v>
      </c>
      <c r="S17" s="896">
        <v>5.8999999999999999E-3</v>
      </c>
      <c r="T17" s="939">
        <v>8.0800000000000001E-18</v>
      </c>
      <c r="U17" s="801"/>
      <c r="V17" s="801"/>
      <c r="W17" s="801"/>
    </row>
    <row r="18" spans="1:23" x14ac:dyDescent="0.25">
      <c r="A18" s="1246"/>
      <c r="B18" s="810" t="s">
        <v>61</v>
      </c>
      <c r="C18" s="810" t="s">
        <v>62</v>
      </c>
      <c r="D18" s="810" t="s">
        <v>16</v>
      </c>
      <c r="E18" s="810" t="s">
        <v>17</v>
      </c>
      <c r="F18" s="1252" t="s">
        <v>5261</v>
      </c>
      <c r="G18" s="810" t="s">
        <v>63</v>
      </c>
      <c r="H18" s="816" t="s">
        <v>255</v>
      </c>
      <c r="I18" s="1247"/>
      <c r="J18" s="935">
        <v>1.5699999999999999E-5</v>
      </c>
      <c r="K18" s="895">
        <v>226650</v>
      </c>
      <c r="L18" s="896">
        <v>0.7359</v>
      </c>
      <c r="M18" s="896">
        <v>4.4999999999999997E-3</v>
      </c>
      <c r="N18" s="896">
        <v>3.3999999999999998E-3</v>
      </c>
      <c r="O18" s="894">
        <v>0.18529999999999999</v>
      </c>
      <c r="P18" s="895">
        <v>250023</v>
      </c>
      <c r="Q18" s="896">
        <v>0.72960000000000003</v>
      </c>
      <c r="R18" s="896">
        <v>2.4799999999999999E-2</v>
      </c>
      <c r="S18" s="896">
        <v>3.3E-3</v>
      </c>
      <c r="T18" s="939">
        <v>8.23E-14</v>
      </c>
      <c r="U18" s="801"/>
      <c r="V18" s="801"/>
      <c r="W18" s="801"/>
    </row>
    <row r="19" spans="1:23" x14ac:dyDescent="0.25">
      <c r="A19" s="1246"/>
      <c r="B19" s="810" t="s">
        <v>214</v>
      </c>
      <c r="C19" s="810" t="s">
        <v>215</v>
      </c>
      <c r="D19" s="810" t="s">
        <v>23</v>
      </c>
      <c r="E19" s="810" t="s">
        <v>17</v>
      </c>
      <c r="F19" s="1252"/>
      <c r="G19" s="810" t="s">
        <v>217</v>
      </c>
      <c r="H19" s="816" t="s">
        <v>255</v>
      </c>
      <c r="I19" s="1247"/>
      <c r="J19" s="935">
        <v>4.9819999999999997E-4</v>
      </c>
      <c r="K19" s="895">
        <v>226681</v>
      </c>
      <c r="L19" s="896">
        <v>0.60850000000000004</v>
      </c>
      <c r="M19" s="896">
        <v>3.0999999999999999E-3</v>
      </c>
      <c r="N19" s="896">
        <v>3.0999999999999999E-3</v>
      </c>
      <c r="O19" s="894">
        <v>0.31059999999999999</v>
      </c>
      <c r="P19" s="895">
        <v>250069</v>
      </c>
      <c r="Q19" s="896">
        <v>0.60229999999999995</v>
      </c>
      <c r="R19" s="896">
        <v>1.7999999999999999E-2</v>
      </c>
      <c r="S19" s="896">
        <v>3.0000000000000001E-3</v>
      </c>
      <c r="T19" s="939">
        <v>1.9000000000000001E-9</v>
      </c>
      <c r="U19" s="801"/>
      <c r="V19" s="801"/>
      <c r="W19" s="801"/>
    </row>
    <row r="20" spans="1:23" ht="17.850000000000001" customHeight="1" x14ac:dyDescent="0.25">
      <c r="A20" s="1246">
        <v>4</v>
      </c>
      <c r="B20" s="810" t="s">
        <v>64</v>
      </c>
      <c r="C20" s="810" t="s">
        <v>65</v>
      </c>
      <c r="D20" s="810" t="s">
        <v>24</v>
      </c>
      <c r="E20" s="810" t="s">
        <v>17</v>
      </c>
      <c r="F20" s="874" t="s">
        <v>918</v>
      </c>
      <c r="G20" s="810" t="s">
        <v>66</v>
      </c>
      <c r="H20" s="816" t="s">
        <v>255</v>
      </c>
      <c r="I20" s="1247" t="s">
        <v>67</v>
      </c>
      <c r="J20" s="935">
        <v>4.0799999999999999E-6</v>
      </c>
      <c r="K20" s="895">
        <v>222556</v>
      </c>
      <c r="L20" s="896">
        <v>0.8387</v>
      </c>
      <c r="M20" s="896">
        <v>7.4999999999999997E-3</v>
      </c>
      <c r="N20" s="896">
        <v>4.1000000000000003E-3</v>
      </c>
      <c r="O20" s="894">
        <v>6.6119999999999998E-2</v>
      </c>
      <c r="P20" s="895">
        <v>223877</v>
      </c>
      <c r="Q20" s="896">
        <v>0.83730000000000004</v>
      </c>
      <c r="R20" s="896">
        <v>3.4000000000000002E-2</v>
      </c>
      <c r="S20" s="896">
        <v>4.1000000000000003E-3</v>
      </c>
      <c r="T20" s="939">
        <v>2.11E-16</v>
      </c>
      <c r="U20" s="801"/>
      <c r="V20" s="801"/>
      <c r="W20" s="801"/>
    </row>
    <row r="21" spans="1:23" x14ac:dyDescent="0.25">
      <c r="A21" s="1246"/>
      <c r="B21" s="810" t="s">
        <v>68</v>
      </c>
      <c r="C21" s="810" t="s">
        <v>69</v>
      </c>
      <c r="D21" s="810" t="s">
        <v>17</v>
      </c>
      <c r="E21" s="810" t="s">
        <v>23</v>
      </c>
      <c r="F21" s="874" t="s">
        <v>919</v>
      </c>
      <c r="G21" s="810" t="s">
        <v>70</v>
      </c>
      <c r="H21" s="816" t="s">
        <v>255</v>
      </c>
      <c r="I21" s="1247"/>
      <c r="J21" s="935">
        <v>9.5600000000000006E-5</v>
      </c>
      <c r="K21" s="895">
        <v>226680</v>
      </c>
      <c r="L21" s="896">
        <v>0.81610000000000005</v>
      </c>
      <c r="M21" s="896">
        <v>5.4999999999999997E-3</v>
      </c>
      <c r="N21" s="896">
        <v>3.8E-3</v>
      </c>
      <c r="O21" s="894">
        <v>0.15210000000000001</v>
      </c>
      <c r="P21" s="895">
        <v>242970</v>
      </c>
      <c r="Q21" s="896">
        <v>0.81479999999999997</v>
      </c>
      <c r="R21" s="896">
        <v>2.63E-2</v>
      </c>
      <c r="S21" s="896">
        <v>3.8E-3</v>
      </c>
      <c r="T21" s="939">
        <v>5.8699999999999998E-12</v>
      </c>
      <c r="U21" s="801"/>
      <c r="V21" s="801"/>
      <c r="W21" s="801"/>
    </row>
    <row r="22" spans="1:23" ht="13.35" customHeight="1" x14ac:dyDescent="0.25">
      <c r="A22" s="1246">
        <v>5</v>
      </c>
      <c r="B22" s="810" t="s">
        <v>94</v>
      </c>
      <c r="C22" s="810" t="s">
        <v>95</v>
      </c>
      <c r="D22" s="810" t="s">
        <v>16</v>
      </c>
      <c r="E22" s="810" t="s">
        <v>24</v>
      </c>
      <c r="F22" s="873" t="s">
        <v>923</v>
      </c>
      <c r="G22" s="810" t="s">
        <v>96</v>
      </c>
      <c r="H22" s="816" t="s">
        <v>255</v>
      </c>
      <c r="I22" s="1247" t="s">
        <v>97</v>
      </c>
      <c r="J22" s="935">
        <v>7.7400000000000002E-9</v>
      </c>
      <c r="K22" s="895">
        <v>226677</v>
      </c>
      <c r="L22" s="896">
        <v>0.54120000000000001</v>
      </c>
      <c r="M22" s="896">
        <v>1.84E-2</v>
      </c>
      <c r="N22" s="896">
        <v>3.0000000000000001E-3</v>
      </c>
      <c r="O22" s="937">
        <v>5.6100000000000003E-10</v>
      </c>
      <c r="P22" s="895">
        <v>250034</v>
      </c>
      <c r="Q22" s="896">
        <v>0.54459999999999997</v>
      </c>
      <c r="R22" s="896">
        <v>4.2299999999999997E-2</v>
      </c>
      <c r="S22" s="896">
        <v>2.8999999999999998E-3</v>
      </c>
      <c r="T22" s="939">
        <v>3.4378790000000003E-48</v>
      </c>
      <c r="U22" s="801"/>
      <c r="V22" s="801"/>
      <c r="W22" s="801"/>
    </row>
    <row r="23" spans="1:23" ht="17.850000000000001" customHeight="1" x14ac:dyDescent="0.25">
      <c r="A23" s="1246"/>
      <c r="B23" s="810" t="s">
        <v>98</v>
      </c>
      <c r="C23" s="810" t="s">
        <v>99</v>
      </c>
      <c r="D23" s="810" t="s">
        <v>16</v>
      </c>
      <c r="E23" s="810" t="s">
        <v>24</v>
      </c>
      <c r="F23" s="873" t="s">
        <v>924</v>
      </c>
      <c r="G23" s="810" t="s">
        <v>100</v>
      </c>
      <c r="H23" s="816" t="s">
        <v>255</v>
      </c>
      <c r="I23" s="1247"/>
      <c r="J23" s="935">
        <v>1.9819999999999999E-4</v>
      </c>
      <c r="K23" s="895">
        <v>188079</v>
      </c>
      <c r="L23" s="896">
        <v>9.4999999999999998E-3</v>
      </c>
      <c r="M23" s="896">
        <v>5.7000000000000002E-2</v>
      </c>
      <c r="N23" s="896">
        <v>1.6799999999999999E-2</v>
      </c>
      <c r="O23" s="894">
        <v>6.7679999999999997E-4</v>
      </c>
      <c r="P23" s="895">
        <v>205203</v>
      </c>
      <c r="Q23" s="896">
        <v>9.9000000000000008E-3</v>
      </c>
      <c r="R23" s="896">
        <v>0.1429</v>
      </c>
      <c r="S23" s="896">
        <v>1.61E-2</v>
      </c>
      <c r="T23" s="939">
        <v>5.8799999999999997E-19</v>
      </c>
      <c r="U23" s="801"/>
      <c r="V23" s="801"/>
      <c r="W23" s="841" t="s">
        <v>1</v>
      </c>
    </row>
    <row r="24" spans="1:23" x14ac:dyDescent="0.25">
      <c r="A24" s="810">
        <v>6</v>
      </c>
      <c r="B24" s="810" t="s">
        <v>121</v>
      </c>
      <c r="C24" s="810" t="s">
        <v>122</v>
      </c>
      <c r="D24" s="810" t="s">
        <v>23</v>
      </c>
      <c r="E24" s="810" t="s">
        <v>17</v>
      </c>
      <c r="F24" s="199" t="s">
        <v>123</v>
      </c>
      <c r="G24" s="810" t="s">
        <v>124</v>
      </c>
      <c r="H24" s="816" t="s">
        <v>255</v>
      </c>
      <c r="I24" s="806" t="s">
        <v>125</v>
      </c>
      <c r="J24" s="935">
        <v>1.27E-4</v>
      </c>
      <c r="K24" s="895">
        <v>226713</v>
      </c>
      <c r="L24" s="896">
        <v>6.08E-2</v>
      </c>
      <c r="M24" s="896">
        <v>1.61E-2</v>
      </c>
      <c r="N24" s="896">
        <v>6.1999999999999998E-3</v>
      </c>
      <c r="O24" s="894">
        <v>9.5600000000000008E-3</v>
      </c>
      <c r="P24" s="895">
        <v>250097</v>
      </c>
      <c r="Q24" s="896">
        <v>6.0900000000000003E-2</v>
      </c>
      <c r="R24" s="896">
        <v>4.8899999999999999E-2</v>
      </c>
      <c r="S24" s="896">
        <v>6.0000000000000001E-3</v>
      </c>
      <c r="T24" s="939">
        <v>6.7400000000000001E-16</v>
      </c>
      <c r="U24" s="801"/>
      <c r="V24" s="801"/>
      <c r="W24" s="801"/>
    </row>
    <row r="25" spans="1:23" s="633" customFormat="1" ht="14.25" customHeight="1" x14ac:dyDescent="0.25">
      <c r="A25" s="1246">
        <v>7</v>
      </c>
      <c r="B25" s="810" t="s">
        <v>142</v>
      </c>
      <c r="C25" s="810" t="s">
        <v>143</v>
      </c>
      <c r="D25" s="810" t="s">
        <v>23</v>
      </c>
      <c r="E25" s="810" t="s">
        <v>17</v>
      </c>
      <c r="F25" s="1234" t="s">
        <v>940</v>
      </c>
      <c r="G25" s="810" t="s">
        <v>144</v>
      </c>
      <c r="H25" s="816" t="s">
        <v>255</v>
      </c>
      <c r="I25" s="1247" t="s">
        <v>141</v>
      </c>
      <c r="J25" s="935">
        <v>2.6799999999999998E-8</v>
      </c>
      <c r="K25" s="895">
        <v>226659</v>
      </c>
      <c r="L25" s="896">
        <v>0.36990000000000001</v>
      </c>
      <c r="M25" s="896">
        <v>5.3E-3</v>
      </c>
      <c r="N25" s="896">
        <v>3.0999999999999999E-3</v>
      </c>
      <c r="O25" s="894">
        <v>8.344E-2</v>
      </c>
      <c r="P25" s="895">
        <v>250054</v>
      </c>
      <c r="Q25" s="896">
        <v>0.37580000000000002</v>
      </c>
      <c r="R25" s="896">
        <v>2.9100000000000001E-2</v>
      </c>
      <c r="S25" s="896">
        <v>3.0000000000000001E-3</v>
      </c>
      <c r="T25" s="939">
        <v>3.0799999999999998E-22</v>
      </c>
      <c r="U25" s="810"/>
      <c r="V25" s="810"/>
      <c r="W25" s="810"/>
    </row>
    <row r="26" spans="1:23" s="633" customFormat="1" x14ac:dyDescent="0.25">
      <c r="A26" s="1246"/>
      <c r="B26" s="810" t="s">
        <v>145</v>
      </c>
      <c r="C26" s="810" t="s">
        <v>146</v>
      </c>
      <c r="D26" s="810" t="s">
        <v>17</v>
      </c>
      <c r="E26" s="810" t="s">
        <v>23</v>
      </c>
      <c r="F26" s="1234"/>
      <c r="G26" s="810" t="s">
        <v>147</v>
      </c>
      <c r="H26" s="816" t="s">
        <v>255</v>
      </c>
      <c r="I26" s="1247"/>
      <c r="J26" s="935">
        <v>3.1300000000000002E-8</v>
      </c>
      <c r="K26" s="895">
        <v>226682</v>
      </c>
      <c r="L26" s="896">
        <v>0.89129999999999998</v>
      </c>
      <c r="M26" s="896">
        <v>6.3E-3</v>
      </c>
      <c r="N26" s="896">
        <v>4.7999999999999996E-3</v>
      </c>
      <c r="O26" s="894">
        <v>0.18579999999999999</v>
      </c>
      <c r="P26" s="895">
        <v>250066</v>
      </c>
      <c r="Q26" s="896">
        <v>0.88739999999999997</v>
      </c>
      <c r="R26" s="896">
        <v>4.2799999999999998E-2</v>
      </c>
      <c r="S26" s="896">
        <v>4.5999999999999999E-3</v>
      </c>
      <c r="T26" s="939">
        <v>1.3800000000000001E-20</v>
      </c>
      <c r="U26" s="810"/>
      <c r="V26" s="810"/>
      <c r="W26" s="810"/>
    </row>
    <row r="27" spans="1:23" s="633" customFormat="1" x14ac:dyDescent="0.25">
      <c r="A27" s="1246"/>
      <c r="B27" s="810" t="s">
        <v>148</v>
      </c>
      <c r="C27" s="810" t="s">
        <v>149</v>
      </c>
      <c r="D27" s="810" t="s">
        <v>23</v>
      </c>
      <c r="E27" s="810" t="s">
        <v>16</v>
      </c>
      <c r="F27" s="873" t="s">
        <v>941</v>
      </c>
      <c r="G27" s="810" t="s">
        <v>150</v>
      </c>
      <c r="H27" s="816" t="s">
        <v>255</v>
      </c>
      <c r="I27" s="1247"/>
      <c r="J27" s="935">
        <v>5.4899999999999999E-11</v>
      </c>
      <c r="K27" s="895">
        <v>223324</v>
      </c>
      <c r="L27" s="896">
        <v>0.70079999999999998</v>
      </c>
      <c r="M27" s="896">
        <v>1.34E-2</v>
      </c>
      <c r="N27" s="896">
        <v>3.3E-3</v>
      </c>
      <c r="O27" s="894">
        <v>4.2500000000000003E-5</v>
      </c>
      <c r="P27" s="895">
        <v>244678</v>
      </c>
      <c r="Q27" s="896">
        <v>0.68899999999999995</v>
      </c>
      <c r="R27" s="896">
        <v>4.3299999999999998E-2</v>
      </c>
      <c r="S27" s="896">
        <v>3.2000000000000002E-3</v>
      </c>
      <c r="T27" s="940">
        <v>1.022697E-41</v>
      </c>
      <c r="U27" s="810"/>
      <c r="V27" s="810"/>
      <c r="W27" s="810"/>
    </row>
    <row r="28" spans="1:23" ht="33.75" customHeight="1" x14ac:dyDescent="0.25">
      <c r="A28" s="1228" t="s">
        <v>5307</v>
      </c>
      <c r="B28" s="1229"/>
      <c r="C28" s="1229"/>
      <c r="D28" s="1229"/>
      <c r="E28" s="1229"/>
      <c r="F28" s="1229"/>
      <c r="G28" s="1229"/>
      <c r="H28" s="1229"/>
      <c r="I28" s="1229"/>
      <c r="J28" s="1229"/>
      <c r="K28" s="1229"/>
      <c r="L28" s="1229"/>
      <c r="M28" s="1229"/>
      <c r="N28" s="1229"/>
      <c r="O28" s="1229"/>
      <c r="P28" s="1229"/>
      <c r="Q28" s="1229"/>
      <c r="R28" s="1229"/>
      <c r="S28" s="1229"/>
      <c r="T28" s="1229"/>
      <c r="U28" s="801"/>
      <c r="V28" s="801"/>
      <c r="W28" s="801"/>
    </row>
    <row r="29" spans="1:23" ht="14.1" customHeight="1" x14ac:dyDescent="0.25">
      <c r="A29" s="471" t="s">
        <v>226</v>
      </c>
      <c r="B29" s="136"/>
      <c r="C29" s="136"/>
      <c r="D29" s="136"/>
      <c r="E29" s="136"/>
      <c r="F29" s="875"/>
      <c r="G29" s="136"/>
      <c r="H29" s="136"/>
      <c r="I29" s="136"/>
      <c r="J29" s="136"/>
      <c r="K29" s="136"/>
      <c r="L29" s="136"/>
      <c r="M29" s="136"/>
      <c r="N29" s="801"/>
      <c r="O29" s="801"/>
      <c r="P29" s="470"/>
      <c r="Q29" s="801"/>
      <c r="R29" s="801"/>
      <c r="S29" s="801"/>
      <c r="T29" s="801"/>
      <c r="U29" s="801"/>
      <c r="V29" s="801"/>
      <c r="W29" s="801"/>
    </row>
    <row r="30" spans="1:23" ht="16.5" customHeight="1" x14ac:dyDescent="0.25">
      <c r="A30" s="1231" t="s">
        <v>5276</v>
      </c>
      <c r="B30" s="1232"/>
      <c r="C30" s="1232"/>
      <c r="D30" s="1232"/>
      <c r="E30" s="1232"/>
      <c r="F30" s="1232"/>
      <c r="G30" s="1232"/>
      <c r="H30" s="1232"/>
      <c r="I30" s="1232"/>
      <c r="J30" s="1232"/>
      <c r="K30" s="1232"/>
      <c r="L30" s="1232"/>
      <c r="M30" s="1232"/>
      <c r="N30" s="1232"/>
      <c r="O30" s="1232"/>
      <c r="P30" s="1232"/>
      <c r="Q30" s="1232"/>
      <c r="R30" s="1232"/>
      <c r="S30" s="1232"/>
      <c r="T30" s="801"/>
      <c r="U30" s="801"/>
      <c r="V30" s="801"/>
      <c r="W30" s="801"/>
    </row>
    <row r="31" spans="1:23" x14ac:dyDescent="0.25">
      <c r="A31" s="1239" t="s">
        <v>266</v>
      </c>
      <c r="B31" s="1239"/>
      <c r="C31" s="1239"/>
      <c r="D31" s="1239"/>
      <c r="E31" s="1239"/>
      <c r="F31" s="1239"/>
      <c r="G31" s="1239"/>
      <c r="H31" s="1239"/>
      <c r="I31" s="1239"/>
      <c r="J31" s="1239"/>
      <c r="K31" s="1239"/>
      <c r="L31" s="1239"/>
      <c r="M31" s="1239"/>
      <c r="N31" s="1239"/>
      <c r="O31" s="1239"/>
      <c r="P31" s="1239"/>
      <c r="Q31" s="1239"/>
      <c r="R31" s="1239"/>
      <c r="S31" s="1239"/>
      <c r="T31" s="801"/>
    </row>
    <row r="32" spans="1:23" x14ac:dyDescent="0.25">
      <c r="A32" s="1244" t="s">
        <v>267</v>
      </c>
      <c r="B32" s="1244"/>
      <c r="C32" s="1244"/>
      <c r="D32" s="1244"/>
      <c r="E32" s="1244"/>
      <c r="F32" s="1244"/>
      <c r="G32" s="1244"/>
      <c r="H32" s="1244"/>
      <c r="I32" s="1244"/>
      <c r="J32" s="1244"/>
      <c r="K32" s="1244"/>
      <c r="L32" s="1244"/>
      <c r="M32" s="1244"/>
      <c r="N32" s="1244"/>
      <c r="O32" s="1244"/>
      <c r="P32" s="1244"/>
      <c r="Q32" s="1244"/>
      <c r="R32" s="1244"/>
      <c r="S32" s="1244"/>
      <c r="T32" s="801"/>
    </row>
    <row r="33" spans="1:20" x14ac:dyDescent="0.25">
      <c r="A33" s="805" t="s">
        <v>268</v>
      </c>
      <c r="B33" s="805"/>
      <c r="C33" s="805"/>
      <c r="D33" s="805"/>
      <c r="E33" s="805"/>
      <c r="F33" s="901"/>
      <c r="G33" s="805"/>
      <c r="H33" s="805"/>
      <c r="I33" s="805"/>
      <c r="J33" s="805"/>
      <c r="K33" s="805"/>
      <c r="L33" s="805"/>
      <c r="M33" s="805"/>
      <c r="N33" s="805"/>
      <c r="O33" s="805"/>
      <c r="P33" s="805"/>
      <c r="Q33" s="805"/>
      <c r="R33" s="805"/>
      <c r="S33" s="805"/>
      <c r="T33" s="801"/>
    </row>
    <row r="34" spans="1:20" ht="17.100000000000001" customHeight="1" x14ac:dyDescent="0.25">
      <c r="A34" s="1245" t="s">
        <v>5273</v>
      </c>
      <c r="B34" s="1245"/>
      <c r="C34" s="1245"/>
      <c r="D34" s="1245"/>
      <c r="E34" s="1245"/>
      <c r="F34" s="1245"/>
      <c r="G34" s="1245"/>
      <c r="H34" s="1245"/>
      <c r="I34" s="1245"/>
      <c r="J34" s="1245"/>
      <c r="K34" s="1245"/>
      <c r="L34" s="1245"/>
      <c r="M34" s="1245"/>
      <c r="N34" s="1245"/>
      <c r="O34" s="1245"/>
      <c r="P34" s="1245"/>
      <c r="Q34" s="1245"/>
      <c r="R34" s="1245"/>
      <c r="S34" s="1245"/>
      <c r="T34" s="801"/>
    </row>
    <row r="35" spans="1:20" ht="27.75" customHeight="1" x14ac:dyDescent="0.25">
      <c r="A35" s="1251" t="s">
        <v>269</v>
      </c>
      <c r="B35" s="1251"/>
      <c r="C35" s="1251"/>
      <c r="D35" s="1251"/>
      <c r="E35" s="1251"/>
      <c r="F35" s="1251"/>
      <c r="G35" s="1251"/>
      <c r="H35" s="1251"/>
      <c r="I35" s="1251"/>
      <c r="J35" s="1251"/>
      <c r="K35" s="1251"/>
      <c r="L35" s="1251"/>
      <c r="M35" s="1251"/>
      <c r="N35" s="1251"/>
      <c r="O35" s="1251"/>
      <c r="P35" s="1251"/>
      <c r="Q35" s="1251"/>
      <c r="R35" s="1251"/>
      <c r="S35" s="1251"/>
      <c r="T35" s="1251"/>
    </row>
    <row r="36" spans="1:20" x14ac:dyDescent="0.25">
      <c r="A36" s="1232" t="s">
        <v>270</v>
      </c>
      <c r="B36" s="1232"/>
      <c r="C36" s="1232"/>
      <c r="D36" s="1232"/>
      <c r="E36" s="1232"/>
      <c r="F36" s="1232"/>
      <c r="G36" s="1232"/>
      <c r="H36" s="1232"/>
      <c r="I36" s="1232"/>
      <c r="J36" s="1232"/>
      <c r="K36" s="1232"/>
      <c r="L36" s="1232"/>
      <c r="M36" s="1232"/>
      <c r="N36" s="1232"/>
      <c r="O36" s="1232"/>
      <c r="P36" s="1232"/>
      <c r="Q36" s="1232"/>
      <c r="R36" s="1232"/>
      <c r="S36" s="1232"/>
      <c r="T36" s="801"/>
    </row>
    <row r="44" spans="1:20" x14ac:dyDescent="0.25">
      <c r="A44" s="801"/>
      <c r="B44" s="810"/>
      <c r="C44" s="801"/>
      <c r="D44" s="801"/>
      <c r="E44" s="801"/>
      <c r="G44" s="801"/>
      <c r="H44" s="815"/>
      <c r="I44" s="803"/>
      <c r="K44" s="801"/>
      <c r="L44" s="801"/>
      <c r="M44" s="801"/>
      <c r="N44" s="801"/>
      <c r="P44" s="801"/>
      <c r="Q44" s="801"/>
      <c r="R44" s="801"/>
      <c r="S44" s="801"/>
      <c r="T44" s="801"/>
    </row>
    <row r="45" spans="1:20" x14ac:dyDescent="0.25">
      <c r="A45" s="801"/>
      <c r="B45" s="810"/>
      <c r="C45" s="801"/>
      <c r="D45" s="801"/>
      <c r="E45" s="801"/>
      <c r="G45" s="801"/>
      <c r="H45" s="815"/>
      <c r="I45" s="803"/>
      <c r="K45" s="801"/>
      <c r="L45" s="801"/>
      <c r="M45" s="801"/>
      <c r="N45" s="801"/>
      <c r="P45" s="801"/>
      <c r="Q45" s="801"/>
      <c r="R45" s="801"/>
      <c r="S45" s="801"/>
      <c r="T45" s="801"/>
    </row>
    <row r="46" spans="1:20" x14ac:dyDescent="0.25">
      <c r="A46" s="801"/>
      <c r="B46" s="810"/>
      <c r="C46" s="801"/>
      <c r="D46" s="801"/>
      <c r="E46" s="801"/>
      <c r="G46" s="801"/>
      <c r="H46" s="815"/>
      <c r="I46" s="803"/>
      <c r="K46" s="801"/>
      <c r="L46" s="801"/>
      <c r="M46" s="801"/>
      <c r="N46" s="801"/>
      <c r="P46" s="801"/>
      <c r="Q46" s="801"/>
      <c r="R46" s="801"/>
      <c r="S46" s="801"/>
      <c r="T46" s="801"/>
    </row>
    <row r="47" spans="1:20" x14ac:dyDescent="0.25">
      <c r="B47" s="810"/>
    </row>
    <row r="48" spans="1:20" x14ac:dyDescent="0.25">
      <c r="B48" s="810"/>
    </row>
  </sheetData>
  <mergeCells count="34">
    <mergeCell ref="P3:T3"/>
    <mergeCell ref="A3:A4"/>
    <mergeCell ref="B3:B4"/>
    <mergeCell ref="C3:C4"/>
    <mergeCell ref="D3:D4"/>
    <mergeCell ref="E3:E4"/>
    <mergeCell ref="F3:F4"/>
    <mergeCell ref="G3:G4"/>
    <mergeCell ref="H3:H4"/>
    <mergeCell ref="I3:I4"/>
    <mergeCell ref="J3:J4"/>
    <mergeCell ref="K3:O3"/>
    <mergeCell ref="A5:T5"/>
    <mergeCell ref="A13:T13"/>
    <mergeCell ref="A17:A19"/>
    <mergeCell ref="I17:I19"/>
    <mergeCell ref="A35:T35"/>
    <mergeCell ref="F25:F26"/>
    <mergeCell ref="I20:I21"/>
    <mergeCell ref="A14:T14"/>
    <mergeCell ref="F18:F19"/>
    <mergeCell ref="A36:S36"/>
    <mergeCell ref="A6:T6"/>
    <mergeCell ref="A9:T9"/>
    <mergeCell ref="A28:T28"/>
    <mergeCell ref="A30:S30"/>
    <mergeCell ref="A31:S31"/>
    <mergeCell ref="A32:S32"/>
    <mergeCell ref="A34:S34"/>
    <mergeCell ref="A22:A23"/>
    <mergeCell ref="I22:I23"/>
    <mergeCell ref="A25:A27"/>
    <mergeCell ref="I25:I27"/>
    <mergeCell ref="A20:A21"/>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16"/>
  <sheetViews>
    <sheetView workbookViewId="0">
      <selection activeCell="H12" sqref="H12"/>
    </sheetView>
  </sheetViews>
  <sheetFormatPr defaultColWidth="8.7109375" defaultRowHeight="15" x14ac:dyDescent="0.25"/>
  <cols>
    <col min="1" max="1" width="32.7109375" style="528" customWidth="1"/>
    <col min="2" max="2" width="18.140625" style="528" customWidth="1"/>
    <col min="3" max="3" width="14.28515625" style="528" customWidth="1"/>
    <col min="4" max="4" width="2.28515625" style="528" customWidth="1"/>
    <col min="5" max="5" width="19.42578125" style="528" customWidth="1"/>
    <col min="6" max="6" width="16.42578125" style="528" customWidth="1"/>
    <col min="7" max="16384" width="8.7109375" style="528"/>
  </cols>
  <sheetData>
    <row r="1" spans="1:7" s="555" customFormat="1" ht="30.75" customHeight="1" x14ac:dyDescent="0.25">
      <c r="A1" s="1533" t="s">
        <v>5615</v>
      </c>
      <c r="B1" s="1533"/>
      <c r="C1" s="1533"/>
      <c r="D1" s="1533"/>
      <c r="E1" s="1533"/>
      <c r="F1" s="1533"/>
      <c r="G1" s="684"/>
    </row>
    <row r="2" spans="1:7" x14ac:dyDescent="0.25">
      <c r="A2" s="1531" t="s">
        <v>5036</v>
      </c>
      <c r="B2" s="1530" t="s">
        <v>5037</v>
      </c>
      <c r="C2" s="1530"/>
      <c r="D2" s="870"/>
      <c r="E2" s="1530" t="s">
        <v>5038</v>
      </c>
      <c r="F2" s="1530"/>
      <c r="G2" s="685"/>
    </row>
    <row r="3" spans="1:7" ht="30" x14ac:dyDescent="0.25">
      <c r="A3" s="1532"/>
      <c r="B3" s="840" t="s">
        <v>5039</v>
      </c>
      <c r="C3" s="840" t="s">
        <v>5040</v>
      </c>
      <c r="D3" s="686"/>
      <c r="E3" s="840" t="s">
        <v>5039</v>
      </c>
      <c r="F3" s="840" t="s">
        <v>5040</v>
      </c>
      <c r="G3" s="685"/>
    </row>
    <row r="4" spans="1:7" x14ac:dyDescent="0.25">
      <c r="A4" s="687" t="s">
        <v>5041</v>
      </c>
      <c r="B4" s="688">
        <v>244618</v>
      </c>
      <c r="C4" s="689">
        <v>1.0812432430000001</v>
      </c>
      <c r="D4" s="690"/>
      <c r="E4" s="691">
        <v>236804</v>
      </c>
      <c r="F4" s="692">
        <v>1.07</v>
      </c>
      <c r="G4" s="685"/>
    </row>
    <row r="5" spans="1:7" x14ac:dyDescent="0.25">
      <c r="A5" s="687" t="s">
        <v>5042</v>
      </c>
      <c r="B5" s="688">
        <v>28089</v>
      </c>
      <c r="C5" s="689">
        <v>1.4250409390000001</v>
      </c>
      <c r="D5" s="690"/>
      <c r="E5" s="688">
        <v>27228</v>
      </c>
      <c r="F5" s="692">
        <v>1.45</v>
      </c>
      <c r="G5" s="685"/>
    </row>
    <row r="6" spans="1:7" x14ac:dyDescent="0.25">
      <c r="A6" s="687" t="s">
        <v>5043</v>
      </c>
      <c r="B6" s="688">
        <v>216529</v>
      </c>
      <c r="C6" s="689">
        <v>1.0454282210000001</v>
      </c>
      <c r="D6" s="690"/>
      <c r="E6" s="693">
        <v>209576</v>
      </c>
      <c r="F6" s="692">
        <v>1.03</v>
      </c>
      <c r="G6" s="685"/>
    </row>
    <row r="7" spans="1:7" ht="17.25" x14ac:dyDescent="0.25">
      <c r="A7" s="687" t="s">
        <v>5044</v>
      </c>
      <c r="B7" s="688">
        <v>4781</v>
      </c>
      <c r="C7" s="689">
        <v>1.7567467349999999</v>
      </c>
      <c r="D7" s="690"/>
      <c r="E7" s="688">
        <v>4781</v>
      </c>
      <c r="F7" s="692">
        <v>1.78</v>
      </c>
      <c r="G7" s="685"/>
    </row>
    <row r="8" spans="1:7" x14ac:dyDescent="0.25">
      <c r="A8" s="687" t="s">
        <v>5045</v>
      </c>
      <c r="B8" s="688">
        <v>3772</v>
      </c>
      <c r="C8" s="689">
        <v>1.1832415510000001</v>
      </c>
      <c r="D8" s="690"/>
      <c r="E8" s="688">
        <v>3772</v>
      </c>
      <c r="F8" s="692">
        <v>1.19</v>
      </c>
      <c r="G8" s="685"/>
    </row>
    <row r="9" spans="1:7" ht="17.25" x14ac:dyDescent="0.25">
      <c r="A9" s="687" t="s">
        <v>5046</v>
      </c>
      <c r="B9" s="688">
        <v>4676</v>
      </c>
      <c r="C9" s="689">
        <v>1.335038331</v>
      </c>
      <c r="D9" s="690"/>
      <c r="E9" s="688">
        <v>4676</v>
      </c>
      <c r="F9" s="692">
        <v>1.33</v>
      </c>
      <c r="G9" s="685"/>
    </row>
    <row r="10" spans="1:7" ht="17.25" x14ac:dyDescent="0.25">
      <c r="A10" s="694" t="s">
        <v>5047</v>
      </c>
      <c r="B10" s="695">
        <v>231214</v>
      </c>
      <c r="C10" s="696">
        <v>1.061280198</v>
      </c>
      <c r="D10" s="690"/>
      <c r="E10" s="693">
        <v>223334</v>
      </c>
      <c r="F10" s="697">
        <v>1.05</v>
      </c>
      <c r="G10" s="685"/>
    </row>
    <row r="11" spans="1:7" x14ac:dyDescent="0.25">
      <c r="A11" s="694" t="s">
        <v>5048</v>
      </c>
      <c r="B11" s="695">
        <v>13953</v>
      </c>
      <c r="C11" s="696">
        <v>1.3739598609999999</v>
      </c>
      <c r="D11" s="690"/>
      <c r="E11" s="693">
        <v>13758</v>
      </c>
      <c r="F11" s="697">
        <v>1.41</v>
      </c>
      <c r="G11" s="685"/>
    </row>
    <row r="12" spans="1:7" x14ac:dyDescent="0.25">
      <c r="A12" s="694" t="s">
        <v>5049</v>
      </c>
      <c r="B12" s="698">
        <v>217261</v>
      </c>
      <c r="C12" s="696">
        <v>1.045418776</v>
      </c>
      <c r="D12" s="690"/>
      <c r="E12" s="693">
        <v>209576</v>
      </c>
      <c r="F12" s="697">
        <v>1.03</v>
      </c>
      <c r="G12" s="685"/>
    </row>
    <row r="13" spans="1:7" x14ac:dyDescent="0.25">
      <c r="A13" s="699" t="s">
        <v>5050</v>
      </c>
      <c r="B13" s="700">
        <v>207783</v>
      </c>
      <c r="C13" s="701">
        <v>1.0405165249999999</v>
      </c>
      <c r="D13" s="702"/>
      <c r="E13" s="703">
        <v>200517</v>
      </c>
      <c r="F13" s="704">
        <v>1.03</v>
      </c>
      <c r="G13" s="685"/>
    </row>
    <row r="14" spans="1:7" x14ac:dyDescent="0.25">
      <c r="A14" s="705" t="s">
        <v>5051</v>
      </c>
      <c r="B14" s="706"/>
      <c r="C14" s="706"/>
      <c r="D14" s="706"/>
      <c r="E14" s="706"/>
      <c r="F14" s="706"/>
      <c r="G14" s="685"/>
    </row>
    <row r="15" spans="1:7" x14ac:dyDescent="0.25">
      <c r="A15" s="705" t="s">
        <v>5052</v>
      </c>
      <c r="B15" s="706"/>
      <c r="C15" s="706"/>
      <c r="D15" s="706"/>
      <c r="E15" s="706"/>
      <c r="F15" s="706"/>
      <c r="G15" s="685"/>
    </row>
    <row r="16" spans="1:7" x14ac:dyDescent="0.25">
      <c r="A16" s="707" t="s">
        <v>5053</v>
      </c>
      <c r="B16" s="708"/>
      <c r="C16" s="708"/>
      <c r="D16" s="708"/>
      <c r="E16" s="708"/>
      <c r="F16" s="708"/>
      <c r="G16" s="709"/>
    </row>
  </sheetData>
  <mergeCells count="4">
    <mergeCell ref="E2:F2"/>
    <mergeCell ref="B2:C2"/>
    <mergeCell ref="A2:A3"/>
    <mergeCell ref="A1:F1"/>
  </mergeCells>
  <phoneticPr fontId="101" type="noConversion"/>
  <pageMargins left="0.5" right="0.5" top="0.5" bottom="0.5" header="0.05" footer="0.05"/>
  <pageSetup scale="92" fitToHeight="0" orientation="portrait" horizontalDpi="1200" verticalDpi="120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142"/>
  <sheetViews>
    <sheetView workbookViewId="0">
      <selection activeCell="C5" sqref="C5"/>
    </sheetView>
  </sheetViews>
  <sheetFormatPr defaultColWidth="8" defaultRowHeight="12.75" x14ac:dyDescent="0.25"/>
  <cols>
    <col min="1" max="1" width="21.7109375" style="155" customWidth="1"/>
    <col min="2" max="2" width="39.28515625" style="156" customWidth="1"/>
    <col min="3" max="3" width="96.28515625" style="156" customWidth="1"/>
    <col min="4" max="16384" width="8" style="155"/>
  </cols>
  <sheetData>
    <row r="1" spans="1:3" x14ac:dyDescent="0.25">
      <c r="A1" s="1075" t="s">
        <v>5912</v>
      </c>
      <c r="B1" s="154"/>
      <c r="C1" s="153"/>
    </row>
    <row r="2" spans="1:3" x14ac:dyDescent="0.25">
      <c r="A2" s="1541" t="s">
        <v>5054</v>
      </c>
      <c r="B2" s="1541"/>
      <c r="C2" s="1541"/>
    </row>
    <row r="3" spans="1:3" s="1076" customFormat="1" x14ac:dyDescent="0.25">
      <c r="A3" s="1105" t="s">
        <v>5055</v>
      </c>
      <c r="B3" s="1106" t="s">
        <v>5056</v>
      </c>
      <c r="C3" s="1107" t="s">
        <v>5057</v>
      </c>
    </row>
    <row r="4" spans="1:3" ht="127.5" x14ac:dyDescent="0.25">
      <c r="A4" s="1108" t="s">
        <v>5058</v>
      </c>
      <c r="B4" s="1109" t="s">
        <v>5059</v>
      </c>
      <c r="C4" s="1110" t="s">
        <v>5297</v>
      </c>
    </row>
    <row r="5" spans="1:3" ht="63.75" x14ac:dyDescent="0.25">
      <c r="A5" s="1108" t="s">
        <v>294</v>
      </c>
      <c r="B5" s="1111" t="s">
        <v>295</v>
      </c>
      <c r="C5" s="1110" t="s">
        <v>5060</v>
      </c>
    </row>
    <row r="6" spans="1:3" ht="76.5" x14ac:dyDescent="0.25">
      <c r="A6" s="1108" t="s">
        <v>300</v>
      </c>
      <c r="B6" s="1109" t="s">
        <v>5061</v>
      </c>
      <c r="C6" s="1110" t="s">
        <v>5537</v>
      </c>
    </row>
    <row r="7" spans="1:3" ht="191.25" x14ac:dyDescent="0.25">
      <c r="A7" s="1108" t="s">
        <v>5062</v>
      </c>
      <c r="B7" s="1109" t="s">
        <v>307</v>
      </c>
      <c r="C7" s="1110" t="s">
        <v>5063</v>
      </c>
    </row>
    <row r="8" spans="1:3" ht="38.25" x14ac:dyDescent="0.25">
      <c r="A8" s="1108" t="s">
        <v>313</v>
      </c>
      <c r="B8" s="1111" t="s">
        <v>5064</v>
      </c>
      <c r="C8" s="1110" t="s">
        <v>5065</v>
      </c>
    </row>
    <row r="9" spans="1:3" ht="38.25" x14ac:dyDescent="0.25">
      <c r="A9" s="1108" t="s">
        <v>319</v>
      </c>
      <c r="B9" s="1112" t="s">
        <v>320</v>
      </c>
      <c r="C9" s="1110" t="s">
        <v>5066</v>
      </c>
    </row>
    <row r="10" spans="1:3" ht="63.75" x14ac:dyDescent="0.25">
      <c r="A10" s="1108" t="s">
        <v>328</v>
      </c>
      <c r="B10" s="1112" t="s">
        <v>329</v>
      </c>
      <c r="C10" s="1113" t="s">
        <v>5067</v>
      </c>
    </row>
    <row r="11" spans="1:3" ht="102" x14ac:dyDescent="0.25">
      <c r="A11" s="1108" t="s">
        <v>5068</v>
      </c>
      <c r="B11" s="1113" t="s">
        <v>5069</v>
      </c>
      <c r="C11" s="1113" t="s">
        <v>5070</v>
      </c>
    </row>
    <row r="12" spans="1:3" ht="89.25" x14ac:dyDescent="0.25">
      <c r="A12" s="1109" t="s">
        <v>334</v>
      </c>
      <c r="B12" s="1114" t="s">
        <v>335</v>
      </c>
      <c r="C12" s="1110" t="s">
        <v>5071</v>
      </c>
    </row>
    <row r="13" spans="1:3" ht="38.25" x14ac:dyDescent="0.25">
      <c r="A13" s="1108" t="s">
        <v>5293</v>
      </c>
      <c r="B13" s="1109" t="s">
        <v>5294</v>
      </c>
      <c r="C13" s="1110" t="s">
        <v>5295</v>
      </c>
    </row>
    <row r="14" spans="1:3" ht="114.75" x14ac:dyDescent="0.25">
      <c r="A14" s="1108" t="s">
        <v>345</v>
      </c>
      <c r="B14" s="1112" t="s">
        <v>346</v>
      </c>
      <c r="C14" s="1110" t="s">
        <v>5526</v>
      </c>
    </row>
    <row r="15" spans="1:3" ht="51" x14ac:dyDescent="0.25">
      <c r="A15" s="1108" t="s">
        <v>349</v>
      </c>
      <c r="B15" s="1113" t="s">
        <v>350</v>
      </c>
      <c r="C15" s="1113" t="s">
        <v>5072</v>
      </c>
    </row>
    <row r="16" spans="1:3" ht="89.25" x14ac:dyDescent="0.25">
      <c r="A16" s="1110" t="s">
        <v>5073</v>
      </c>
      <c r="B16" s="1112" t="s">
        <v>354</v>
      </c>
      <c r="C16" s="1110" t="s">
        <v>5074</v>
      </c>
    </row>
    <row r="17" spans="1:3" ht="63.75" x14ac:dyDescent="0.25">
      <c r="A17" s="1108" t="s">
        <v>5075</v>
      </c>
      <c r="B17" s="1110" t="s">
        <v>425</v>
      </c>
      <c r="C17" s="1110" t="s">
        <v>5076</v>
      </c>
    </row>
    <row r="18" spans="1:3" ht="38.25" x14ac:dyDescent="0.25">
      <c r="A18" s="1111" t="s">
        <v>5077</v>
      </c>
      <c r="B18" s="1111" t="s">
        <v>5077</v>
      </c>
      <c r="C18" s="1110" t="s">
        <v>5078</v>
      </c>
    </row>
    <row r="19" spans="1:3" ht="38.25" x14ac:dyDescent="0.25">
      <c r="A19" s="1108" t="s">
        <v>365</v>
      </c>
      <c r="B19" s="1112" t="s">
        <v>366</v>
      </c>
      <c r="C19" s="1110" t="s">
        <v>5079</v>
      </c>
    </row>
    <row r="20" spans="1:3" ht="191.25" x14ac:dyDescent="0.25">
      <c r="A20" s="1108" t="s">
        <v>5080</v>
      </c>
      <c r="B20" s="1112" t="s">
        <v>371</v>
      </c>
      <c r="C20" s="1110" t="s">
        <v>5300</v>
      </c>
    </row>
    <row r="21" spans="1:3" ht="63.75" x14ac:dyDescent="0.25">
      <c r="A21" s="1108" t="s">
        <v>377</v>
      </c>
      <c r="B21" s="1110" t="s">
        <v>378</v>
      </c>
      <c r="C21" s="1110" t="s">
        <v>5081</v>
      </c>
    </row>
    <row r="22" spans="1:3" ht="63.75" x14ac:dyDescent="0.25">
      <c r="A22" s="1108" t="s">
        <v>5082</v>
      </c>
      <c r="B22" s="1110" t="s">
        <v>383</v>
      </c>
      <c r="C22" s="1110" t="s">
        <v>5083</v>
      </c>
    </row>
    <row r="23" spans="1:3" ht="38.25" x14ac:dyDescent="0.25">
      <c r="A23" s="1108" t="s">
        <v>389</v>
      </c>
      <c r="B23" s="1114" t="s">
        <v>390</v>
      </c>
      <c r="C23" s="1110" t="s">
        <v>5084</v>
      </c>
    </row>
    <row r="24" spans="1:3" ht="25.5" x14ac:dyDescent="0.25">
      <c r="A24" s="1108" t="s">
        <v>5085</v>
      </c>
      <c r="B24" s="1110" t="s">
        <v>5086</v>
      </c>
      <c r="C24" s="1110" t="s">
        <v>5087</v>
      </c>
    </row>
    <row r="25" spans="1:3" ht="76.5" x14ac:dyDescent="0.25">
      <c r="A25" s="1108" t="s">
        <v>735</v>
      </c>
      <c r="B25" s="1111" t="s">
        <v>5088</v>
      </c>
      <c r="C25" s="1110" t="s">
        <v>5089</v>
      </c>
    </row>
    <row r="26" spans="1:3" ht="25.5" x14ac:dyDescent="0.25">
      <c r="A26" s="1108" t="s">
        <v>735</v>
      </c>
      <c r="B26" s="1110" t="s">
        <v>5090</v>
      </c>
      <c r="C26" s="1110" t="s">
        <v>5091</v>
      </c>
    </row>
    <row r="27" spans="1:3" ht="76.5" x14ac:dyDescent="0.25">
      <c r="A27" s="1108" t="s">
        <v>735</v>
      </c>
      <c r="B27" s="1110" t="s">
        <v>5092</v>
      </c>
      <c r="C27" s="1110" t="s">
        <v>5093</v>
      </c>
    </row>
    <row r="28" spans="1:3" ht="89.25" x14ac:dyDescent="0.25">
      <c r="A28" s="1108" t="s">
        <v>735</v>
      </c>
      <c r="B28" s="1109" t="s">
        <v>401</v>
      </c>
      <c r="C28" s="1110" t="s">
        <v>5094</v>
      </c>
    </row>
    <row r="29" spans="1:3" ht="63.75" x14ac:dyDescent="0.25">
      <c r="A29" s="1108" t="s">
        <v>405</v>
      </c>
      <c r="B29" s="1112" t="s">
        <v>406</v>
      </c>
      <c r="C29" s="1110" t="s">
        <v>5095</v>
      </c>
    </row>
    <row r="30" spans="1:3" x14ac:dyDescent="0.25">
      <c r="A30" s="1108" t="s">
        <v>410</v>
      </c>
      <c r="B30" s="1112" t="s">
        <v>411</v>
      </c>
      <c r="C30" s="1110" t="s">
        <v>5096</v>
      </c>
    </row>
    <row r="31" spans="1:3" ht="51" x14ac:dyDescent="0.25">
      <c r="A31" s="1108" t="s">
        <v>421</v>
      </c>
      <c r="B31" s="1109" t="s">
        <v>421</v>
      </c>
      <c r="C31" s="1110" t="s">
        <v>5097</v>
      </c>
    </row>
    <row r="32" spans="1:3" ht="25.5" x14ac:dyDescent="0.25">
      <c r="A32" s="1108" t="s">
        <v>5098</v>
      </c>
      <c r="B32" s="1113" t="s">
        <v>5099</v>
      </c>
      <c r="C32" s="1110" t="s">
        <v>5100</v>
      </c>
    </row>
    <row r="33" spans="1:3" ht="25.5" x14ac:dyDescent="0.25">
      <c r="A33" s="1108" t="s">
        <v>429</v>
      </c>
      <c r="B33" s="1110" t="s">
        <v>430</v>
      </c>
      <c r="C33" s="1110" t="s">
        <v>5101</v>
      </c>
    </row>
    <row r="34" spans="1:3" ht="114.75" x14ac:dyDescent="0.25">
      <c r="A34" s="1108" t="s">
        <v>5102</v>
      </c>
      <c r="B34" s="1113" t="s">
        <v>439</v>
      </c>
      <c r="C34" s="1110" t="s">
        <v>5532</v>
      </c>
    </row>
    <row r="35" spans="1:3" ht="25.5" x14ac:dyDescent="0.25">
      <c r="A35" s="1108" t="s">
        <v>443</v>
      </c>
      <c r="B35" s="1110" t="s">
        <v>444</v>
      </c>
      <c r="C35" s="1110" t="s">
        <v>5103</v>
      </c>
    </row>
    <row r="36" spans="1:3" x14ac:dyDescent="0.25">
      <c r="A36" s="1108" t="s">
        <v>446</v>
      </c>
      <c r="B36" s="1109" t="s">
        <v>447</v>
      </c>
      <c r="C36" s="1110" t="s">
        <v>5104</v>
      </c>
    </row>
    <row r="37" spans="1:3" ht="89.25" x14ac:dyDescent="0.25">
      <c r="A37" s="1108" t="s">
        <v>448</v>
      </c>
      <c r="B37" s="1113" t="s">
        <v>449</v>
      </c>
      <c r="C37" s="1110" t="s">
        <v>5299</v>
      </c>
    </row>
    <row r="38" spans="1:3" ht="51" x14ac:dyDescent="0.25">
      <c r="A38" s="1109" t="s">
        <v>456</v>
      </c>
      <c r="B38" s="1114" t="s">
        <v>457</v>
      </c>
      <c r="C38" s="1110" t="s">
        <v>5105</v>
      </c>
    </row>
    <row r="39" spans="1:3" ht="114.75" x14ac:dyDescent="0.25">
      <c r="A39" s="1108" t="s">
        <v>5106</v>
      </c>
      <c r="B39" s="1109" t="s">
        <v>5107</v>
      </c>
      <c r="C39" s="1110" t="s">
        <v>5108</v>
      </c>
    </row>
    <row r="40" spans="1:3" ht="51" x14ac:dyDescent="0.25">
      <c r="A40" s="1108" t="s">
        <v>465</v>
      </c>
      <c r="B40" s="1110" t="s">
        <v>5109</v>
      </c>
      <c r="C40" s="1110" t="s">
        <v>5110</v>
      </c>
    </row>
    <row r="41" spans="1:3" ht="127.5" x14ac:dyDescent="0.25">
      <c r="A41" s="1108" t="s">
        <v>5111</v>
      </c>
      <c r="B41" s="1109" t="s">
        <v>5112</v>
      </c>
      <c r="C41" s="1110" t="s">
        <v>5113</v>
      </c>
    </row>
    <row r="42" spans="1:3" ht="63.75" x14ac:dyDescent="0.25">
      <c r="A42" s="1108" t="s">
        <v>5114</v>
      </c>
      <c r="B42" s="1113" t="s">
        <v>5115</v>
      </c>
      <c r="C42" s="1110" t="s">
        <v>5116</v>
      </c>
    </row>
    <row r="43" spans="1:3" ht="89.25" x14ac:dyDescent="0.25">
      <c r="A43" s="1108" t="s">
        <v>478</v>
      </c>
      <c r="B43" s="1114" t="s">
        <v>479</v>
      </c>
      <c r="C43" s="1110" t="s">
        <v>5117</v>
      </c>
    </row>
    <row r="44" spans="1:3" ht="51" x14ac:dyDescent="0.25">
      <c r="A44" s="1109" t="s">
        <v>484</v>
      </c>
      <c r="B44" s="1109" t="s">
        <v>484</v>
      </c>
      <c r="C44" s="1110" t="s">
        <v>5118</v>
      </c>
    </row>
    <row r="45" spans="1:3" ht="63.75" x14ac:dyDescent="0.25">
      <c r="A45" s="1108" t="s">
        <v>492</v>
      </c>
      <c r="B45" s="1109" t="s">
        <v>493</v>
      </c>
      <c r="C45" s="1110" t="s">
        <v>5119</v>
      </c>
    </row>
    <row r="46" spans="1:3" ht="51" x14ac:dyDescent="0.25">
      <c r="A46" s="1108" t="s">
        <v>499</v>
      </c>
      <c r="B46" s="1109" t="s">
        <v>500</v>
      </c>
      <c r="C46" s="1110" t="s">
        <v>5120</v>
      </c>
    </row>
    <row r="47" spans="1:3" ht="51" x14ac:dyDescent="0.25">
      <c r="A47" s="1108" t="s">
        <v>5121</v>
      </c>
      <c r="B47" s="1111" t="s">
        <v>505</v>
      </c>
      <c r="C47" s="1110" t="s">
        <v>5122</v>
      </c>
    </row>
    <row r="48" spans="1:3" ht="76.5" x14ac:dyDescent="0.25">
      <c r="A48" s="1109" t="s">
        <v>5546</v>
      </c>
      <c r="B48" s="1111" t="s">
        <v>5123</v>
      </c>
      <c r="C48" s="1110" t="s">
        <v>5124</v>
      </c>
    </row>
    <row r="49" spans="1:3" ht="51" x14ac:dyDescent="0.25">
      <c r="A49" s="1108" t="s">
        <v>5125</v>
      </c>
      <c r="B49" s="1110" t="s">
        <v>508</v>
      </c>
      <c r="C49" s="1110" t="s">
        <v>5126</v>
      </c>
    </row>
    <row r="50" spans="1:3" ht="140.25" x14ac:dyDescent="0.25">
      <c r="A50" s="1110" t="s">
        <v>5127</v>
      </c>
      <c r="B50" s="1109" t="s">
        <v>514</v>
      </c>
      <c r="C50" s="1110" t="s">
        <v>5301</v>
      </c>
    </row>
    <row r="51" spans="1:3" ht="114.75" x14ac:dyDescent="0.25">
      <c r="A51" s="1108" t="s">
        <v>520</v>
      </c>
      <c r="B51" s="1109" t="s">
        <v>521</v>
      </c>
      <c r="C51" s="1110" t="s">
        <v>5298</v>
      </c>
    </row>
    <row r="52" spans="1:3" ht="25.5" x14ac:dyDescent="0.25">
      <c r="A52" s="1108" t="s">
        <v>526</v>
      </c>
      <c r="B52" s="1109" t="s">
        <v>527</v>
      </c>
      <c r="C52" s="1110" t="s">
        <v>5128</v>
      </c>
    </row>
    <row r="53" spans="1:3" ht="25.5" x14ac:dyDescent="0.25">
      <c r="A53" s="1108" t="s">
        <v>530</v>
      </c>
      <c r="B53" s="1109" t="s">
        <v>531</v>
      </c>
      <c r="C53" s="1110" t="s">
        <v>5129</v>
      </c>
    </row>
    <row r="54" spans="1:3" ht="51" x14ac:dyDescent="0.25">
      <c r="A54" s="1108" t="s">
        <v>534</v>
      </c>
      <c r="B54" s="1111" t="s">
        <v>535</v>
      </c>
      <c r="C54" s="1110" t="s">
        <v>5130</v>
      </c>
    </row>
    <row r="55" spans="1:3" ht="102" x14ac:dyDescent="0.25">
      <c r="A55" s="1108" t="s">
        <v>5131</v>
      </c>
      <c r="B55" s="1109" t="s">
        <v>539</v>
      </c>
      <c r="C55" s="1115" t="s">
        <v>5132</v>
      </c>
    </row>
    <row r="56" spans="1:3" ht="63.75" x14ac:dyDescent="0.25">
      <c r="A56" s="1108" t="s">
        <v>5133</v>
      </c>
      <c r="B56" s="1109" t="s">
        <v>5134</v>
      </c>
      <c r="C56" s="1110" t="s">
        <v>5135</v>
      </c>
    </row>
    <row r="57" spans="1:3" ht="89.25" x14ac:dyDescent="0.25">
      <c r="A57" s="1109" t="s">
        <v>5136</v>
      </c>
      <c r="B57" s="1109" t="s">
        <v>5136</v>
      </c>
      <c r="C57" s="1110" t="s">
        <v>5137</v>
      </c>
    </row>
    <row r="58" spans="1:3" ht="25.5" x14ac:dyDescent="0.25">
      <c r="A58" s="1108" t="s">
        <v>5138</v>
      </c>
      <c r="B58" s="1108" t="s">
        <v>5139</v>
      </c>
      <c r="C58" s="1110" t="s">
        <v>5140</v>
      </c>
    </row>
    <row r="59" spans="1:3" ht="25.5" x14ac:dyDescent="0.25">
      <c r="A59" s="1108" t="s">
        <v>564</v>
      </c>
      <c r="B59" s="1108" t="s">
        <v>5141</v>
      </c>
      <c r="C59" s="1110" t="s">
        <v>5142</v>
      </c>
    </row>
    <row r="60" spans="1:3" ht="102" x14ac:dyDescent="0.25">
      <c r="A60" s="1108" t="s">
        <v>5143</v>
      </c>
      <c r="B60" s="1108" t="s">
        <v>5144</v>
      </c>
      <c r="C60" s="1110" t="s">
        <v>5145</v>
      </c>
    </row>
    <row r="61" spans="1:3" ht="76.5" x14ac:dyDescent="0.25">
      <c r="A61" s="1108" t="s">
        <v>570</v>
      </c>
      <c r="B61" s="1111" t="s">
        <v>571</v>
      </c>
      <c r="C61" s="1110" t="s">
        <v>5146</v>
      </c>
    </row>
    <row r="62" spans="1:3" s="1077" customFormat="1" ht="153" x14ac:dyDescent="0.25">
      <c r="A62" s="1108" t="s">
        <v>576</v>
      </c>
      <c r="B62" s="1109" t="s">
        <v>5147</v>
      </c>
      <c r="C62" s="1110" t="s">
        <v>5296</v>
      </c>
    </row>
    <row r="63" spans="1:3" ht="25.5" x14ac:dyDescent="0.25">
      <c r="A63" s="1108" t="s">
        <v>581</v>
      </c>
      <c r="B63" s="1113" t="s">
        <v>582</v>
      </c>
      <c r="C63" s="1110" t="s">
        <v>5148</v>
      </c>
    </row>
    <row r="64" spans="1:3" ht="204" x14ac:dyDescent="0.25">
      <c r="A64" s="1108" t="s">
        <v>584</v>
      </c>
      <c r="B64" s="1114" t="s">
        <v>585</v>
      </c>
      <c r="C64" s="1110" t="s">
        <v>5149</v>
      </c>
    </row>
    <row r="65" spans="1:3" ht="89.25" x14ac:dyDescent="0.25">
      <c r="A65" s="1108" t="s">
        <v>596</v>
      </c>
      <c r="B65" s="1109" t="s">
        <v>597</v>
      </c>
      <c r="C65" s="1110" t="s">
        <v>5150</v>
      </c>
    </row>
    <row r="66" spans="1:3" ht="102" x14ac:dyDescent="0.25">
      <c r="A66" s="1110" t="s">
        <v>5151</v>
      </c>
      <c r="B66" s="1110" t="s">
        <v>5151</v>
      </c>
      <c r="C66" s="1110" t="s">
        <v>5152</v>
      </c>
    </row>
    <row r="67" spans="1:3" ht="76.5" x14ac:dyDescent="0.25">
      <c r="A67" s="1108" t="s">
        <v>612</v>
      </c>
      <c r="B67" s="1116" t="s">
        <v>612</v>
      </c>
      <c r="C67" s="1110" t="s">
        <v>5549</v>
      </c>
    </row>
    <row r="68" spans="1:3" ht="51" x14ac:dyDescent="0.25">
      <c r="A68" s="1108" t="s">
        <v>617</v>
      </c>
      <c r="B68" s="1108" t="s">
        <v>617</v>
      </c>
      <c r="C68" s="1110" t="s">
        <v>5153</v>
      </c>
    </row>
    <row r="69" spans="1:3" x14ac:dyDescent="0.25">
      <c r="A69" s="1108" t="s">
        <v>627</v>
      </c>
      <c r="B69" s="1110" t="s">
        <v>628</v>
      </c>
      <c r="C69" s="1110" t="s">
        <v>5154</v>
      </c>
    </row>
    <row r="70" spans="1:3" ht="38.25" x14ac:dyDescent="0.25">
      <c r="A70" s="1108" t="s">
        <v>631</v>
      </c>
      <c r="B70" s="1109" t="s">
        <v>632</v>
      </c>
      <c r="C70" s="1110" t="s">
        <v>5155</v>
      </c>
    </row>
    <row r="71" spans="1:3" ht="89.25" x14ac:dyDescent="0.25">
      <c r="A71" s="1108" t="s">
        <v>635</v>
      </c>
      <c r="B71" s="1110" t="s">
        <v>636</v>
      </c>
      <c r="C71" s="1110" t="s">
        <v>5156</v>
      </c>
    </row>
    <row r="72" spans="1:3" ht="76.5" x14ac:dyDescent="0.25">
      <c r="A72" s="1108" t="s">
        <v>644</v>
      </c>
      <c r="B72" s="1109" t="s">
        <v>645</v>
      </c>
      <c r="C72" s="1110" t="s">
        <v>5157</v>
      </c>
    </row>
    <row r="74" spans="1:3" x14ac:dyDescent="0.25">
      <c r="A74" s="1536" t="s">
        <v>5158</v>
      </c>
      <c r="B74" s="1536"/>
      <c r="C74" s="1536"/>
    </row>
    <row r="75" spans="1:3" x14ac:dyDescent="0.25">
      <c r="A75" s="1540" t="s">
        <v>5538</v>
      </c>
      <c r="B75" s="1540"/>
      <c r="C75" s="1102" t="s">
        <v>5530</v>
      </c>
    </row>
    <row r="76" spans="1:3" x14ac:dyDescent="0.25">
      <c r="A76" s="1538" t="s">
        <v>5159</v>
      </c>
      <c r="B76" s="1538"/>
      <c r="C76" s="1102" t="s">
        <v>5160</v>
      </c>
    </row>
    <row r="77" spans="1:3" x14ac:dyDescent="0.25">
      <c r="A77" s="1538" t="s">
        <v>5161</v>
      </c>
      <c r="B77" s="1538"/>
      <c r="C77" s="1102" t="s">
        <v>5162</v>
      </c>
    </row>
    <row r="78" spans="1:3" x14ac:dyDescent="0.25">
      <c r="A78" s="1535" t="s">
        <v>5163</v>
      </c>
      <c r="B78" s="1535"/>
      <c r="C78" s="1102" t="s">
        <v>5164</v>
      </c>
    </row>
    <row r="79" spans="1:3" ht="25.5" x14ac:dyDescent="0.25">
      <c r="A79" s="1534" t="s">
        <v>5165</v>
      </c>
      <c r="B79" s="1534"/>
      <c r="C79" s="1102" t="s">
        <v>5166</v>
      </c>
    </row>
    <row r="80" spans="1:3" x14ac:dyDescent="0.25">
      <c r="A80" s="1537" t="s">
        <v>5167</v>
      </c>
      <c r="B80" s="1537"/>
      <c r="C80" s="1102" t="s">
        <v>5168</v>
      </c>
    </row>
    <row r="81" spans="1:3" ht="25.5" x14ac:dyDescent="0.25">
      <c r="A81" s="1535" t="s">
        <v>5169</v>
      </c>
      <c r="B81" s="1535"/>
      <c r="C81" s="1102" t="s">
        <v>5170</v>
      </c>
    </row>
    <row r="82" spans="1:3" x14ac:dyDescent="0.25">
      <c r="A82" s="1537" t="s">
        <v>5171</v>
      </c>
      <c r="B82" s="1537"/>
      <c r="C82" s="1102" t="s">
        <v>5557</v>
      </c>
    </row>
    <row r="83" spans="1:3" ht="25.5" x14ac:dyDescent="0.25">
      <c r="A83" s="1539" t="s">
        <v>5172</v>
      </c>
      <c r="B83" s="1539"/>
      <c r="C83" s="1102" t="s">
        <v>5173</v>
      </c>
    </row>
    <row r="84" spans="1:3" ht="38.25" x14ac:dyDescent="0.25">
      <c r="A84" s="1540" t="s">
        <v>5174</v>
      </c>
      <c r="B84" s="1540"/>
      <c r="C84" s="1102" t="s">
        <v>5175</v>
      </c>
    </row>
    <row r="85" spans="1:3" x14ac:dyDescent="0.25">
      <c r="A85" s="1540" t="s">
        <v>5176</v>
      </c>
      <c r="B85" s="1540"/>
      <c r="C85" s="1102" t="s">
        <v>5177</v>
      </c>
    </row>
    <row r="86" spans="1:3" x14ac:dyDescent="0.25">
      <c r="A86" s="1535" t="s">
        <v>5178</v>
      </c>
      <c r="B86" s="1535"/>
      <c r="C86" s="1102" t="s">
        <v>5179</v>
      </c>
    </row>
    <row r="87" spans="1:3" x14ac:dyDescent="0.25">
      <c r="A87" s="1538" t="s">
        <v>5180</v>
      </c>
      <c r="B87" s="1538"/>
      <c r="C87" s="1102" t="s">
        <v>5181</v>
      </c>
    </row>
    <row r="88" spans="1:3" x14ac:dyDescent="0.25">
      <c r="A88" s="1535" t="s">
        <v>5182</v>
      </c>
      <c r="B88" s="1535"/>
      <c r="C88" s="1102" t="s">
        <v>5183</v>
      </c>
    </row>
    <row r="89" spans="1:3" x14ac:dyDescent="0.25">
      <c r="A89" s="1538" t="s">
        <v>5184</v>
      </c>
      <c r="B89" s="1538"/>
      <c r="C89" s="1102" t="s">
        <v>5185</v>
      </c>
    </row>
    <row r="90" spans="1:3" x14ac:dyDescent="0.25">
      <c r="A90" s="1537" t="s">
        <v>5186</v>
      </c>
      <c r="B90" s="1537"/>
      <c r="C90" s="1102" t="s">
        <v>5187</v>
      </c>
    </row>
    <row r="91" spans="1:3" ht="25.5" x14ac:dyDescent="0.25">
      <c r="A91" s="1539" t="s">
        <v>5188</v>
      </c>
      <c r="B91" s="1539"/>
      <c r="C91" s="1102" t="s">
        <v>5189</v>
      </c>
    </row>
    <row r="92" spans="1:3" x14ac:dyDescent="0.25">
      <c r="A92" s="1535" t="s">
        <v>5190</v>
      </c>
      <c r="B92" s="1535"/>
      <c r="C92" s="1102" t="s">
        <v>5191</v>
      </c>
    </row>
    <row r="93" spans="1:3" x14ac:dyDescent="0.25">
      <c r="A93" s="1539" t="s">
        <v>5192</v>
      </c>
      <c r="B93" s="1539"/>
      <c r="C93" s="1102" t="s">
        <v>5193</v>
      </c>
    </row>
    <row r="94" spans="1:3" x14ac:dyDescent="0.25">
      <c r="A94" s="1538" t="s">
        <v>5194</v>
      </c>
      <c r="B94" s="1538"/>
      <c r="C94" s="1102" t="s">
        <v>5195</v>
      </c>
    </row>
    <row r="95" spans="1:3" x14ac:dyDescent="0.25">
      <c r="A95" s="1534" t="s">
        <v>5196</v>
      </c>
      <c r="B95" s="1534"/>
      <c r="C95" s="1117" t="s">
        <v>5197</v>
      </c>
    </row>
    <row r="96" spans="1:3" ht="25.5" x14ac:dyDescent="0.25">
      <c r="A96" s="1534" t="s">
        <v>5198</v>
      </c>
      <c r="B96" s="1534"/>
      <c r="C96" s="1102" t="s">
        <v>5520</v>
      </c>
    </row>
    <row r="97" spans="1:3" x14ac:dyDescent="0.25">
      <c r="A97" s="1534" t="s">
        <v>5199</v>
      </c>
      <c r="B97" s="1534"/>
      <c r="C97" s="1102" t="s">
        <v>5521</v>
      </c>
    </row>
    <row r="98" spans="1:3" ht="25.5" x14ac:dyDescent="0.25">
      <c r="A98" s="1534" t="s">
        <v>5522</v>
      </c>
      <c r="B98" s="1534"/>
      <c r="C98" s="1102" t="s">
        <v>5523</v>
      </c>
    </row>
    <row r="99" spans="1:3" s="1077" customFormat="1" ht="51" x14ac:dyDescent="0.25">
      <c r="A99" s="1540" t="s">
        <v>5200</v>
      </c>
      <c r="B99" s="1540"/>
      <c r="C99" s="1102" t="s">
        <v>5201</v>
      </c>
    </row>
    <row r="100" spans="1:3" s="1077" customFormat="1" x14ac:dyDescent="0.25">
      <c r="A100" s="1540" t="s">
        <v>5202</v>
      </c>
      <c r="B100" s="1540"/>
      <c r="C100" s="1102" t="s">
        <v>5203</v>
      </c>
    </row>
    <row r="101" spans="1:3" x14ac:dyDescent="0.25">
      <c r="A101" s="1538" t="s">
        <v>5204</v>
      </c>
      <c r="B101" s="1538"/>
      <c r="C101" s="1102" t="s">
        <v>5205</v>
      </c>
    </row>
    <row r="102" spans="1:3" x14ac:dyDescent="0.25">
      <c r="A102" s="1538" t="s">
        <v>5524</v>
      </c>
      <c r="B102" s="1538"/>
      <c r="C102" s="1102" t="s">
        <v>5525</v>
      </c>
    </row>
    <row r="103" spans="1:3" x14ac:dyDescent="0.25">
      <c r="A103" s="1538" t="s">
        <v>5206</v>
      </c>
      <c r="B103" s="1538"/>
      <c r="C103" s="1102" t="s">
        <v>5530</v>
      </c>
    </row>
    <row r="104" spans="1:3" x14ac:dyDescent="0.25">
      <c r="A104" s="1538" t="s">
        <v>5207</v>
      </c>
      <c r="B104" s="1538"/>
      <c r="C104" s="1102" t="s">
        <v>5208</v>
      </c>
    </row>
    <row r="105" spans="1:3" x14ac:dyDescent="0.25">
      <c r="A105" s="1538" t="s">
        <v>5527</v>
      </c>
      <c r="B105" s="1538"/>
      <c r="C105" s="1102" t="s">
        <v>5529</v>
      </c>
    </row>
    <row r="106" spans="1:3" x14ac:dyDescent="0.25">
      <c r="A106" s="1538" t="s">
        <v>5528</v>
      </c>
      <c r="B106" s="1538"/>
      <c r="C106" s="1102" t="s">
        <v>5529</v>
      </c>
    </row>
    <row r="107" spans="1:3" x14ac:dyDescent="0.25">
      <c r="A107" s="1537" t="s">
        <v>5209</v>
      </c>
      <c r="B107" s="1537"/>
      <c r="C107" s="1102" t="s">
        <v>5210</v>
      </c>
    </row>
    <row r="108" spans="1:3" ht="25.5" x14ac:dyDescent="0.25">
      <c r="A108" s="1537" t="s">
        <v>5211</v>
      </c>
      <c r="B108" s="1537"/>
      <c r="C108" s="1102" t="s">
        <v>5212</v>
      </c>
    </row>
    <row r="109" spans="1:3" x14ac:dyDescent="0.25">
      <c r="A109" s="1537" t="s">
        <v>5213</v>
      </c>
      <c r="B109" s="1537"/>
      <c r="C109" s="1102" t="s">
        <v>5531</v>
      </c>
    </row>
    <row r="110" spans="1:3" x14ac:dyDescent="0.25">
      <c r="A110" s="1537" t="s">
        <v>5554</v>
      </c>
      <c r="B110" s="1537"/>
      <c r="C110" s="1102" t="s">
        <v>5555</v>
      </c>
    </row>
    <row r="111" spans="1:3" x14ac:dyDescent="0.25">
      <c r="A111" s="1537" t="s">
        <v>5214</v>
      </c>
      <c r="B111" s="1537"/>
      <c r="C111" s="1102" t="s">
        <v>5215</v>
      </c>
    </row>
    <row r="112" spans="1:3" x14ac:dyDescent="0.25">
      <c r="A112" s="1537" t="s">
        <v>5533</v>
      </c>
      <c r="B112" s="1537"/>
      <c r="C112" s="1102" t="s">
        <v>5534</v>
      </c>
    </row>
    <row r="113" spans="1:3" ht="25.5" x14ac:dyDescent="0.25">
      <c r="A113" s="1540" t="s">
        <v>5216</v>
      </c>
      <c r="B113" s="1540"/>
      <c r="C113" s="1102" t="s">
        <v>5536</v>
      </c>
    </row>
    <row r="114" spans="1:3" ht="38.25" x14ac:dyDescent="0.25">
      <c r="A114" s="1537" t="s">
        <v>5217</v>
      </c>
      <c r="B114" s="1537"/>
      <c r="C114" s="1102" t="s">
        <v>5218</v>
      </c>
    </row>
    <row r="115" spans="1:3" x14ac:dyDescent="0.25">
      <c r="A115" s="1537" t="s">
        <v>5535</v>
      </c>
      <c r="B115" s="1537"/>
      <c r="C115" s="1102" t="s">
        <v>5534</v>
      </c>
    </row>
    <row r="116" spans="1:3" x14ac:dyDescent="0.25">
      <c r="A116" s="1538" t="s">
        <v>5219</v>
      </c>
      <c r="B116" s="1538"/>
      <c r="C116" s="1102" t="s">
        <v>5220</v>
      </c>
    </row>
    <row r="117" spans="1:3" x14ac:dyDescent="0.25">
      <c r="A117" s="1538" t="s">
        <v>5539</v>
      </c>
      <c r="B117" s="1538"/>
      <c r="C117" s="1102" t="s">
        <v>5540</v>
      </c>
    </row>
    <row r="118" spans="1:3" x14ac:dyDescent="0.25">
      <c r="A118" s="1538" t="s">
        <v>5221</v>
      </c>
      <c r="B118" s="1538"/>
      <c r="C118" s="1102" t="s">
        <v>5222</v>
      </c>
    </row>
    <row r="119" spans="1:3" ht="38.25" x14ac:dyDescent="0.25">
      <c r="A119" s="1538" t="s">
        <v>5223</v>
      </c>
      <c r="B119" s="1538"/>
      <c r="C119" s="1102" t="s">
        <v>5224</v>
      </c>
    </row>
    <row r="120" spans="1:3" ht="25.5" x14ac:dyDescent="0.25">
      <c r="A120" s="1538" t="s">
        <v>5225</v>
      </c>
      <c r="B120" s="1538"/>
      <c r="C120" s="1102" t="s">
        <v>5226</v>
      </c>
    </row>
    <row r="121" spans="1:3" ht="38.25" x14ac:dyDescent="0.25">
      <c r="A121" s="1537" t="s">
        <v>5227</v>
      </c>
      <c r="B121" s="1537"/>
      <c r="C121" s="1102" t="s">
        <v>5541</v>
      </c>
    </row>
    <row r="122" spans="1:3" ht="38.25" x14ac:dyDescent="0.25">
      <c r="A122" s="1538" t="s">
        <v>5228</v>
      </c>
      <c r="B122" s="1538"/>
      <c r="C122" s="1102" t="s">
        <v>5229</v>
      </c>
    </row>
    <row r="123" spans="1:3" ht="51" x14ac:dyDescent="0.25">
      <c r="A123" s="1538" t="s">
        <v>5542</v>
      </c>
      <c r="B123" s="1538"/>
      <c r="C123" s="1102" t="s">
        <v>5543</v>
      </c>
    </row>
    <row r="124" spans="1:3" x14ac:dyDescent="0.25">
      <c r="A124" s="1539" t="s">
        <v>5230</v>
      </c>
      <c r="B124" s="1539"/>
      <c r="C124" s="1102" t="s">
        <v>5231</v>
      </c>
    </row>
    <row r="125" spans="1:3" x14ac:dyDescent="0.25">
      <c r="A125" s="1538" t="s">
        <v>5232</v>
      </c>
      <c r="B125" s="1538"/>
      <c r="C125" s="1102" t="s">
        <v>5233</v>
      </c>
    </row>
    <row r="126" spans="1:3" x14ac:dyDescent="0.25">
      <c r="A126" s="1537" t="s">
        <v>5234</v>
      </c>
      <c r="B126" s="1537"/>
      <c r="C126" s="1118" t="s">
        <v>5235</v>
      </c>
    </row>
    <row r="127" spans="1:3" ht="38.25" x14ac:dyDescent="0.25">
      <c r="A127" s="1537" t="s">
        <v>5545</v>
      </c>
      <c r="B127" s="1537"/>
      <c r="C127" s="1102" t="s">
        <v>5544</v>
      </c>
    </row>
    <row r="128" spans="1:3" ht="38.25" x14ac:dyDescent="0.25">
      <c r="A128" s="1538" t="s">
        <v>5236</v>
      </c>
      <c r="B128" s="1538"/>
      <c r="C128" s="1102" t="s">
        <v>5237</v>
      </c>
    </row>
    <row r="129" spans="1:3" ht="25.5" x14ac:dyDescent="0.25">
      <c r="A129" s="1538" t="s">
        <v>5238</v>
      </c>
      <c r="B129" s="1538"/>
      <c r="C129" s="1102" t="s">
        <v>5239</v>
      </c>
    </row>
    <row r="130" spans="1:3" x14ac:dyDescent="0.25">
      <c r="A130" s="1539" t="s">
        <v>5240</v>
      </c>
      <c r="B130" s="1539"/>
      <c r="C130" s="1102" t="s">
        <v>5241</v>
      </c>
    </row>
    <row r="131" spans="1:3" x14ac:dyDescent="0.25">
      <c r="A131" s="1540" t="s">
        <v>5242</v>
      </c>
      <c r="B131" s="1540"/>
      <c r="C131" s="1102" t="s">
        <v>5243</v>
      </c>
    </row>
    <row r="132" spans="1:3" x14ac:dyDescent="0.25">
      <c r="A132" s="1537" t="s">
        <v>5244</v>
      </c>
      <c r="B132" s="1537"/>
      <c r="C132" s="1102" t="s">
        <v>5245</v>
      </c>
    </row>
    <row r="133" spans="1:3" x14ac:dyDescent="0.25">
      <c r="A133" s="1540" t="s">
        <v>5556</v>
      </c>
      <c r="B133" s="1540"/>
      <c r="C133" s="1102" t="s">
        <v>5246</v>
      </c>
    </row>
    <row r="134" spans="1:3" x14ac:dyDescent="0.25">
      <c r="A134" s="1537" t="s">
        <v>5247</v>
      </c>
      <c r="B134" s="1537"/>
      <c r="C134" s="1102" t="s">
        <v>5248</v>
      </c>
    </row>
    <row r="135" spans="1:3" x14ac:dyDescent="0.25">
      <c r="A135" s="1538" t="s">
        <v>5250</v>
      </c>
      <c r="B135" s="1538"/>
      <c r="C135" s="1102" t="s">
        <v>5249</v>
      </c>
    </row>
    <row r="136" spans="1:3" x14ac:dyDescent="0.25">
      <c r="A136" s="1538" t="s">
        <v>5250</v>
      </c>
      <c r="B136" s="1538"/>
      <c r="C136" s="1102" t="s">
        <v>5251</v>
      </c>
    </row>
    <row r="137" spans="1:3" ht="25.5" x14ac:dyDescent="0.25">
      <c r="A137" s="1534" t="s">
        <v>5252</v>
      </c>
      <c r="B137" s="1534"/>
      <c r="C137" s="1117" t="s">
        <v>5253</v>
      </c>
    </row>
    <row r="138" spans="1:3" x14ac:dyDescent="0.25">
      <c r="A138" s="1534" t="s">
        <v>5547</v>
      </c>
      <c r="B138" s="1534"/>
      <c r="C138" s="1117" t="s">
        <v>5548</v>
      </c>
    </row>
    <row r="139" spans="1:3" ht="25.5" x14ac:dyDescent="0.25">
      <c r="A139" s="1534" t="s">
        <v>5550</v>
      </c>
      <c r="B139" s="1534"/>
      <c r="C139" s="1117" t="s">
        <v>5553</v>
      </c>
    </row>
    <row r="140" spans="1:3" x14ac:dyDescent="0.25">
      <c r="A140" s="1534" t="s">
        <v>5551</v>
      </c>
      <c r="B140" s="1534"/>
      <c r="C140" s="1117" t="s">
        <v>5548</v>
      </c>
    </row>
    <row r="141" spans="1:3" x14ac:dyDescent="0.25">
      <c r="A141" s="1534" t="s">
        <v>5552</v>
      </c>
      <c r="B141" s="1534"/>
      <c r="C141" s="1117" t="s">
        <v>5529</v>
      </c>
    </row>
    <row r="142" spans="1:3" ht="25.5" x14ac:dyDescent="0.25">
      <c r="A142" s="1535" t="s">
        <v>5254</v>
      </c>
      <c r="B142" s="1535"/>
      <c r="C142" s="1102" t="s">
        <v>5255</v>
      </c>
    </row>
  </sheetData>
  <mergeCells count="70">
    <mergeCell ref="A2:C2"/>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25:B125"/>
    <mergeCell ref="A126:B126"/>
    <mergeCell ref="A127:B127"/>
    <mergeCell ref="A128:B128"/>
    <mergeCell ref="A119:B119"/>
    <mergeCell ref="A120:B120"/>
    <mergeCell ref="A121:B121"/>
    <mergeCell ref="A122:B122"/>
    <mergeCell ref="A123:B123"/>
    <mergeCell ref="A139:B139"/>
    <mergeCell ref="A140:B140"/>
    <mergeCell ref="A141:B141"/>
    <mergeCell ref="A142:B142"/>
    <mergeCell ref="A74:C74"/>
    <mergeCell ref="A134:B134"/>
    <mergeCell ref="A135:B135"/>
    <mergeCell ref="A136:B136"/>
    <mergeCell ref="A137:B137"/>
    <mergeCell ref="A138:B138"/>
    <mergeCell ref="A129:B129"/>
    <mergeCell ref="A130:B130"/>
    <mergeCell ref="A131:B131"/>
    <mergeCell ref="A132:B132"/>
    <mergeCell ref="A133:B133"/>
    <mergeCell ref="A124:B124"/>
  </mergeCells>
  <phoneticPr fontId="101" type="noConversion"/>
  <pageMargins left="0.7" right="0.7" top="0.75" bottom="0.75" header="0.3" footer="0.3"/>
  <pageSetup scale="77"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4"/>
  <sheetViews>
    <sheetView workbookViewId="0">
      <pane xSplit="2" ySplit="5" topLeftCell="C6" activePane="bottomRight" state="frozen"/>
      <selection pane="topRight" activeCell="G76" sqref="G76"/>
      <selection pane="bottomLeft" activeCell="G76" sqref="G76"/>
      <selection pane="bottomRight" activeCell="C7" sqref="C7"/>
    </sheetView>
  </sheetViews>
  <sheetFormatPr defaultColWidth="8.7109375" defaultRowHeight="15" x14ac:dyDescent="0.25"/>
  <cols>
    <col min="1" max="1" width="12.85546875" style="70" customWidth="1"/>
    <col min="2" max="2" width="26.28515625" style="70" customWidth="1"/>
    <col min="3" max="3" width="21.28515625" style="70" customWidth="1"/>
    <col min="4" max="4" width="23.140625" style="70" customWidth="1"/>
    <col min="5" max="5" width="16.7109375" style="70" customWidth="1"/>
    <col min="6" max="6" width="13.7109375" style="70" customWidth="1"/>
    <col min="7" max="7" width="39.140625" style="70" customWidth="1"/>
    <col min="8" max="9" width="19.28515625" style="70" customWidth="1"/>
    <col min="10" max="10" width="71.85546875" style="70" customWidth="1"/>
    <col min="11" max="16384" width="8.7109375" style="70"/>
  </cols>
  <sheetData>
    <row r="1" spans="1:10" s="65" customFormat="1" x14ac:dyDescent="0.25">
      <c r="A1" s="1266" t="s">
        <v>5564</v>
      </c>
      <c r="B1" s="1266"/>
      <c r="C1" s="1266"/>
      <c r="D1" s="1266"/>
      <c r="E1" s="1266"/>
      <c r="F1" s="1266"/>
      <c r="G1" s="1266"/>
      <c r="H1" s="1266"/>
      <c r="I1" s="1266"/>
      <c r="J1" s="1266"/>
    </row>
    <row r="2" spans="1:10" s="65" customFormat="1" x14ac:dyDescent="0.25">
      <c r="A2" s="952"/>
      <c r="B2" s="66"/>
      <c r="C2" s="66"/>
      <c r="D2" s="66"/>
      <c r="E2" s="66"/>
      <c r="F2" s="66"/>
      <c r="G2" s="68"/>
      <c r="H2" s="68"/>
      <c r="I2" s="66"/>
      <c r="J2" s="68"/>
    </row>
    <row r="3" spans="1:10" s="69" customFormat="1" x14ac:dyDescent="0.25">
      <c r="A3" s="1267" t="s">
        <v>274</v>
      </c>
      <c r="B3" s="1267"/>
      <c r="C3" s="1267" t="s">
        <v>275</v>
      </c>
      <c r="D3" s="1267" t="s">
        <v>276</v>
      </c>
      <c r="E3" s="1267" t="s">
        <v>277</v>
      </c>
      <c r="F3" s="1267" t="s">
        <v>278</v>
      </c>
      <c r="G3" s="1267"/>
      <c r="H3" s="1267" t="s">
        <v>279</v>
      </c>
      <c r="I3" s="1267" t="s">
        <v>280</v>
      </c>
      <c r="J3" s="1267" t="s">
        <v>281</v>
      </c>
    </row>
    <row r="4" spans="1:10" s="69" customFormat="1" ht="18" thickBot="1" x14ac:dyDescent="0.3">
      <c r="A4" s="951" t="s">
        <v>282</v>
      </c>
      <c r="B4" s="951" t="s">
        <v>283</v>
      </c>
      <c r="C4" s="1268"/>
      <c r="D4" s="1268"/>
      <c r="E4" s="1268"/>
      <c r="F4" s="951" t="s">
        <v>284</v>
      </c>
      <c r="G4" s="843" t="s">
        <v>285</v>
      </c>
      <c r="H4" s="1268"/>
      <c r="I4" s="1268"/>
      <c r="J4" s="1268"/>
    </row>
    <row r="5" spans="1:10" ht="15.75" thickTop="1" x14ac:dyDescent="0.25">
      <c r="A5" s="966"/>
      <c r="B5" s="966"/>
      <c r="C5" s="966"/>
      <c r="D5" s="966"/>
      <c r="E5" s="966"/>
      <c r="F5" s="966"/>
      <c r="G5" s="966"/>
      <c r="H5" s="966"/>
      <c r="I5" s="966"/>
      <c r="J5" s="966"/>
    </row>
    <row r="6" spans="1:10" s="65" customFormat="1" ht="45" x14ac:dyDescent="0.25">
      <c r="A6" s="952" t="s">
        <v>286</v>
      </c>
      <c r="B6" s="66" t="s">
        <v>287</v>
      </c>
      <c r="C6" s="66" t="s">
        <v>288</v>
      </c>
      <c r="D6" s="66" t="s">
        <v>289</v>
      </c>
      <c r="E6" s="66">
        <v>14904</v>
      </c>
      <c r="F6" s="66" t="s">
        <v>290</v>
      </c>
      <c r="G6" s="68" t="s">
        <v>291</v>
      </c>
      <c r="H6" s="68">
        <v>14892</v>
      </c>
      <c r="I6" s="66" t="s">
        <v>292</v>
      </c>
      <c r="J6" s="68" t="s">
        <v>293</v>
      </c>
    </row>
    <row r="7" spans="1:10" s="65" customFormat="1" ht="165" x14ac:dyDescent="0.25">
      <c r="A7" s="952" t="s">
        <v>294</v>
      </c>
      <c r="B7" s="66" t="s">
        <v>295</v>
      </c>
      <c r="C7" s="66" t="s">
        <v>288</v>
      </c>
      <c r="D7" s="66" t="s">
        <v>296</v>
      </c>
      <c r="E7" s="66">
        <v>1633</v>
      </c>
      <c r="F7" s="66" t="s">
        <v>290</v>
      </c>
      <c r="G7" s="68" t="s">
        <v>297</v>
      </c>
      <c r="H7" s="68" t="s">
        <v>298</v>
      </c>
      <c r="I7" s="66" t="s">
        <v>292</v>
      </c>
      <c r="J7" s="68" t="s">
        <v>299</v>
      </c>
    </row>
    <row r="8" spans="1:10" s="65" customFormat="1" ht="225" x14ac:dyDescent="0.25">
      <c r="A8" s="952" t="s">
        <v>300</v>
      </c>
      <c r="B8" s="66" t="s">
        <v>301</v>
      </c>
      <c r="C8" s="66" t="s">
        <v>288</v>
      </c>
      <c r="D8" s="66" t="s">
        <v>302</v>
      </c>
      <c r="E8" s="66" t="s">
        <v>303</v>
      </c>
      <c r="F8" s="66" t="s">
        <v>290</v>
      </c>
      <c r="G8" s="68" t="s">
        <v>304</v>
      </c>
      <c r="H8" s="68" t="s">
        <v>305</v>
      </c>
      <c r="I8" s="66" t="s">
        <v>292</v>
      </c>
      <c r="J8" s="68" t="s">
        <v>306</v>
      </c>
    </row>
    <row r="9" spans="1:10" s="65" customFormat="1" ht="45" x14ac:dyDescent="0.25">
      <c r="A9" s="952" t="s">
        <v>307</v>
      </c>
      <c r="B9" s="66" t="s">
        <v>308</v>
      </c>
      <c r="C9" s="66" t="s">
        <v>309</v>
      </c>
      <c r="D9" s="66" t="s">
        <v>289</v>
      </c>
      <c r="E9" s="66">
        <v>7140</v>
      </c>
      <c r="F9" s="66" t="s">
        <v>310</v>
      </c>
      <c r="G9" s="68" t="s">
        <v>311</v>
      </c>
      <c r="H9" s="68">
        <v>5242</v>
      </c>
      <c r="I9" s="66" t="s">
        <v>292</v>
      </c>
      <c r="J9" s="68" t="s">
        <v>312</v>
      </c>
    </row>
    <row r="10" spans="1:10" s="65" customFormat="1" ht="45" x14ac:dyDescent="0.25">
      <c r="A10" s="952" t="s">
        <v>313</v>
      </c>
      <c r="B10" s="66" t="s">
        <v>314</v>
      </c>
      <c r="C10" s="66" t="s">
        <v>315</v>
      </c>
      <c r="D10" s="66" t="s">
        <v>289</v>
      </c>
      <c r="E10" s="66">
        <v>5945</v>
      </c>
      <c r="F10" s="66" t="s">
        <v>316</v>
      </c>
      <c r="G10" s="68" t="s">
        <v>317</v>
      </c>
      <c r="H10" s="68">
        <v>5945</v>
      </c>
      <c r="I10" s="66" t="s">
        <v>292</v>
      </c>
      <c r="J10" s="68" t="s">
        <v>318</v>
      </c>
    </row>
    <row r="11" spans="1:10" s="65" customFormat="1" ht="135" x14ac:dyDescent="0.25">
      <c r="A11" s="952" t="s">
        <v>319</v>
      </c>
      <c r="B11" s="66" t="s">
        <v>320</v>
      </c>
      <c r="C11" s="66" t="s">
        <v>321</v>
      </c>
      <c r="D11" s="66" t="s">
        <v>322</v>
      </c>
      <c r="E11" s="66" t="s">
        <v>323</v>
      </c>
      <c r="F11" s="66" t="s">
        <v>324</v>
      </c>
      <c r="G11" s="68" t="s">
        <v>325</v>
      </c>
      <c r="H11" s="68">
        <v>5756</v>
      </c>
      <c r="I11" s="66" t="s">
        <v>326</v>
      </c>
      <c r="J11" s="71" t="s">
        <v>327</v>
      </c>
    </row>
    <row r="12" spans="1:10" s="65" customFormat="1" ht="75" x14ac:dyDescent="0.25">
      <c r="A12" s="952" t="s">
        <v>328</v>
      </c>
      <c r="B12" s="66" t="s">
        <v>329</v>
      </c>
      <c r="C12" s="66" t="s">
        <v>330</v>
      </c>
      <c r="D12" s="66" t="s">
        <v>289</v>
      </c>
      <c r="E12" s="66">
        <v>1452</v>
      </c>
      <c r="F12" s="66" t="s">
        <v>331</v>
      </c>
      <c r="G12" s="68" t="s">
        <v>332</v>
      </c>
      <c r="H12" s="68">
        <v>1361</v>
      </c>
      <c r="I12" s="66" t="s">
        <v>292</v>
      </c>
      <c r="J12" s="68" t="s">
        <v>333</v>
      </c>
    </row>
    <row r="13" spans="1:10" s="65" customFormat="1" ht="135" x14ac:dyDescent="0.25">
      <c r="A13" s="952" t="s">
        <v>334</v>
      </c>
      <c r="B13" s="66" t="s">
        <v>335</v>
      </c>
      <c r="C13" s="66" t="s">
        <v>288</v>
      </c>
      <c r="D13" s="66" t="s">
        <v>336</v>
      </c>
      <c r="E13" s="66" t="s">
        <v>337</v>
      </c>
      <c r="F13" s="66" t="s">
        <v>290</v>
      </c>
      <c r="G13" s="68" t="s">
        <v>338</v>
      </c>
      <c r="H13" s="68" t="s">
        <v>339</v>
      </c>
      <c r="I13" s="66" t="s">
        <v>292</v>
      </c>
      <c r="J13" s="68" t="s">
        <v>340</v>
      </c>
    </row>
    <row r="14" spans="1:10" s="65" customFormat="1" ht="45" x14ac:dyDescent="0.25">
      <c r="A14" s="952" t="s">
        <v>341</v>
      </c>
      <c r="B14" s="66" t="s">
        <v>342</v>
      </c>
      <c r="C14" s="66" t="s">
        <v>288</v>
      </c>
      <c r="D14" s="66" t="s">
        <v>289</v>
      </c>
      <c r="E14" s="66">
        <v>820</v>
      </c>
      <c r="F14" s="66">
        <v>0.99</v>
      </c>
      <c r="G14" s="68" t="s">
        <v>343</v>
      </c>
      <c r="H14" s="68">
        <v>573</v>
      </c>
      <c r="I14" s="66" t="s">
        <v>292</v>
      </c>
      <c r="J14" s="68" t="s">
        <v>344</v>
      </c>
    </row>
    <row r="15" spans="1:10" s="65" customFormat="1" ht="390" x14ac:dyDescent="0.25">
      <c r="A15" s="952" t="s">
        <v>345</v>
      </c>
      <c r="B15" s="66" t="s">
        <v>346</v>
      </c>
      <c r="C15" s="66" t="s">
        <v>288</v>
      </c>
      <c r="D15" s="66" t="s">
        <v>336</v>
      </c>
      <c r="E15" s="66">
        <v>5088</v>
      </c>
      <c r="F15" s="66" t="s">
        <v>290</v>
      </c>
      <c r="G15" s="68" t="s">
        <v>347</v>
      </c>
      <c r="H15" s="68">
        <v>5059</v>
      </c>
      <c r="I15" s="66" t="s">
        <v>292</v>
      </c>
      <c r="J15" s="68" t="s">
        <v>348</v>
      </c>
    </row>
    <row r="16" spans="1:10" s="65" customFormat="1" ht="30" x14ac:dyDescent="0.25">
      <c r="A16" s="952" t="s">
        <v>349</v>
      </c>
      <c r="B16" s="66" t="s">
        <v>350</v>
      </c>
      <c r="C16" s="66" t="s">
        <v>288</v>
      </c>
      <c r="D16" s="66" t="s">
        <v>351</v>
      </c>
      <c r="E16" s="66">
        <v>1798</v>
      </c>
      <c r="F16" s="66" t="s">
        <v>316</v>
      </c>
      <c r="G16" s="68" t="s">
        <v>352</v>
      </c>
      <c r="H16" s="68">
        <v>1785</v>
      </c>
      <c r="I16" s="66" t="s">
        <v>292</v>
      </c>
      <c r="J16" s="68" t="s">
        <v>353</v>
      </c>
    </row>
    <row r="17" spans="1:10" s="65" customFormat="1" ht="30" x14ac:dyDescent="0.25">
      <c r="A17" s="952" t="s">
        <v>354</v>
      </c>
      <c r="B17" s="66" t="s">
        <v>354</v>
      </c>
      <c r="C17" s="66" t="s">
        <v>288</v>
      </c>
      <c r="D17" s="66" t="s">
        <v>289</v>
      </c>
      <c r="E17" s="66">
        <v>855</v>
      </c>
      <c r="F17" s="66" t="s">
        <v>355</v>
      </c>
      <c r="G17" s="68" t="s">
        <v>356</v>
      </c>
      <c r="H17" s="68" t="s">
        <v>357</v>
      </c>
      <c r="I17" s="66" t="s">
        <v>292</v>
      </c>
      <c r="J17" s="68" t="s">
        <v>358</v>
      </c>
    </row>
    <row r="18" spans="1:10" s="67" customFormat="1" ht="120" x14ac:dyDescent="0.25">
      <c r="A18" s="952" t="s">
        <v>359</v>
      </c>
      <c r="B18" s="66" t="s">
        <v>360</v>
      </c>
      <c r="C18" s="66" t="s">
        <v>288</v>
      </c>
      <c r="D18" s="66" t="s">
        <v>361</v>
      </c>
      <c r="E18" s="967">
        <v>150657</v>
      </c>
      <c r="F18" s="66" t="s">
        <v>316</v>
      </c>
      <c r="G18" s="66" t="s">
        <v>362</v>
      </c>
      <c r="H18" s="967">
        <v>12605</v>
      </c>
      <c r="I18" s="66" t="s">
        <v>363</v>
      </c>
      <c r="J18" s="72" t="s">
        <v>364</v>
      </c>
    </row>
    <row r="19" spans="1:10" s="65" customFormat="1" ht="105" x14ac:dyDescent="0.25">
      <c r="A19" s="952" t="s">
        <v>365</v>
      </c>
      <c r="B19" s="66" t="s">
        <v>366</v>
      </c>
      <c r="C19" s="66" t="s">
        <v>367</v>
      </c>
      <c r="D19" s="66" t="s">
        <v>289</v>
      </c>
      <c r="E19" s="66">
        <v>1191</v>
      </c>
      <c r="F19" s="66" t="s">
        <v>316</v>
      </c>
      <c r="G19" s="68" t="s">
        <v>368</v>
      </c>
      <c r="H19" s="68">
        <v>1189</v>
      </c>
      <c r="I19" s="66" t="s">
        <v>292</v>
      </c>
      <c r="J19" s="68" t="s">
        <v>369</v>
      </c>
    </row>
    <row r="20" spans="1:10" s="65" customFormat="1" ht="120" x14ac:dyDescent="0.25">
      <c r="A20" s="952" t="s">
        <v>370</v>
      </c>
      <c r="B20" s="66" t="s">
        <v>371</v>
      </c>
      <c r="C20" s="66" t="s">
        <v>372</v>
      </c>
      <c r="D20" s="66" t="s">
        <v>289</v>
      </c>
      <c r="E20" s="66">
        <v>1523</v>
      </c>
      <c r="F20" s="66" t="s">
        <v>373</v>
      </c>
      <c r="G20" s="68" t="s">
        <v>374</v>
      </c>
      <c r="H20" s="68" t="s">
        <v>375</v>
      </c>
      <c r="I20" s="66" t="s">
        <v>292</v>
      </c>
      <c r="J20" s="68" t="s">
        <v>376</v>
      </c>
    </row>
    <row r="21" spans="1:10" s="65" customFormat="1" ht="135" x14ac:dyDescent="0.25">
      <c r="A21" s="952" t="s">
        <v>377</v>
      </c>
      <c r="B21" s="66" t="s">
        <v>378</v>
      </c>
      <c r="C21" s="66" t="s">
        <v>379</v>
      </c>
      <c r="D21" s="66" t="s">
        <v>289</v>
      </c>
      <c r="E21" s="66">
        <v>486</v>
      </c>
      <c r="F21" s="66" t="s">
        <v>310</v>
      </c>
      <c r="G21" s="68" t="s">
        <v>380</v>
      </c>
      <c r="H21" s="68">
        <v>421</v>
      </c>
      <c r="I21" s="66" t="s">
        <v>292</v>
      </c>
      <c r="J21" s="68" t="s">
        <v>381</v>
      </c>
    </row>
    <row r="22" spans="1:10" s="65" customFormat="1" ht="135" x14ac:dyDescent="0.25">
      <c r="A22" s="952" t="s">
        <v>382</v>
      </c>
      <c r="B22" s="66" t="s">
        <v>383</v>
      </c>
      <c r="C22" s="66" t="s">
        <v>379</v>
      </c>
      <c r="D22" s="66" t="s">
        <v>289</v>
      </c>
      <c r="E22" s="66">
        <v>1243</v>
      </c>
      <c r="F22" s="66" t="s">
        <v>310</v>
      </c>
      <c r="G22" s="68" t="s">
        <v>380</v>
      </c>
      <c r="H22" s="68">
        <v>740</v>
      </c>
      <c r="I22" s="66" t="s">
        <v>292</v>
      </c>
      <c r="J22" s="68" t="s">
        <v>384</v>
      </c>
    </row>
    <row r="23" spans="1:10" s="65" customFormat="1" ht="45" x14ac:dyDescent="0.25">
      <c r="A23" s="952" t="s">
        <v>385</v>
      </c>
      <c r="B23" s="66" t="s">
        <v>386</v>
      </c>
      <c r="C23" s="66" t="s">
        <v>367</v>
      </c>
      <c r="D23" s="66" t="s">
        <v>289</v>
      </c>
      <c r="E23" s="66">
        <v>1538</v>
      </c>
      <c r="F23" s="66">
        <v>0.99</v>
      </c>
      <c r="G23" s="68" t="s">
        <v>387</v>
      </c>
      <c r="H23" s="68">
        <v>1538</v>
      </c>
      <c r="I23" s="66" t="s">
        <v>292</v>
      </c>
      <c r="J23" s="76" t="s">
        <v>388</v>
      </c>
    </row>
    <row r="24" spans="1:10" s="65" customFormat="1" ht="90" x14ac:dyDescent="0.25">
      <c r="A24" s="952" t="s">
        <v>389</v>
      </c>
      <c r="B24" s="66" t="s">
        <v>390</v>
      </c>
      <c r="C24" s="66" t="s">
        <v>391</v>
      </c>
      <c r="D24" s="66" t="s">
        <v>289</v>
      </c>
      <c r="E24" s="66">
        <v>4788</v>
      </c>
      <c r="F24" s="66" t="s">
        <v>310</v>
      </c>
      <c r="G24" s="68" t="s">
        <v>392</v>
      </c>
      <c r="H24" s="68">
        <v>3510</v>
      </c>
      <c r="I24" s="66" t="s">
        <v>292</v>
      </c>
      <c r="J24" s="68" t="s">
        <v>393</v>
      </c>
    </row>
    <row r="25" spans="1:10" s="65" customFormat="1" ht="150" x14ac:dyDescent="0.25">
      <c r="A25" s="968" t="s">
        <v>394</v>
      </c>
      <c r="B25" s="73" t="s">
        <v>395</v>
      </c>
      <c r="C25" s="66" t="s">
        <v>396</v>
      </c>
      <c r="D25" s="66" t="s">
        <v>289</v>
      </c>
      <c r="E25" s="66" t="s">
        <v>397</v>
      </c>
      <c r="F25" s="66" t="s">
        <v>324</v>
      </c>
      <c r="G25" s="68" t="s">
        <v>398</v>
      </c>
      <c r="H25" s="68">
        <v>22412</v>
      </c>
      <c r="I25" s="74" t="s">
        <v>399</v>
      </c>
      <c r="J25" s="71" t="s">
        <v>400</v>
      </c>
    </row>
    <row r="26" spans="1:10" s="65" customFormat="1" ht="60" x14ac:dyDescent="0.25">
      <c r="A26" s="952" t="s">
        <v>401</v>
      </c>
      <c r="B26" s="66" t="s">
        <v>402</v>
      </c>
      <c r="C26" s="66" t="s">
        <v>288</v>
      </c>
      <c r="D26" s="66" t="s">
        <v>289</v>
      </c>
      <c r="E26" s="66">
        <v>2482</v>
      </c>
      <c r="F26" s="66" t="s">
        <v>310</v>
      </c>
      <c r="G26" s="68" t="s">
        <v>403</v>
      </c>
      <c r="H26" s="68">
        <v>2449</v>
      </c>
      <c r="I26" s="66" t="s">
        <v>292</v>
      </c>
      <c r="J26" s="68" t="s">
        <v>404</v>
      </c>
    </row>
    <row r="27" spans="1:10" s="65" customFormat="1" ht="75" x14ac:dyDescent="0.25">
      <c r="A27" s="952" t="s">
        <v>405</v>
      </c>
      <c r="B27" s="66" t="s">
        <v>406</v>
      </c>
      <c r="C27" s="66" t="s">
        <v>288</v>
      </c>
      <c r="D27" s="66" t="s">
        <v>289</v>
      </c>
      <c r="E27" s="66">
        <v>2500</v>
      </c>
      <c r="F27" s="66" t="s">
        <v>316</v>
      </c>
      <c r="G27" s="68" t="s">
        <v>407</v>
      </c>
      <c r="H27" s="68">
        <v>2373</v>
      </c>
      <c r="I27" s="66" t="s">
        <v>408</v>
      </c>
      <c r="J27" s="68" t="s">
        <v>409</v>
      </c>
    </row>
    <row r="28" spans="1:10" s="65" customFormat="1" x14ac:dyDescent="0.25">
      <c r="A28" s="952" t="s">
        <v>410</v>
      </c>
      <c r="B28" s="66" t="s">
        <v>411</v>
      </c>
      <c r="C28" s="66" t="s">
        <v>288</v>
      </c>
      <c r="D28" s="66" t="s">
        <v>289</v>
      </c>
      <c r="E28" s="66">
        <v>1590</v>
      </c>
      <c r="F28" s="66">
        <v>0.99</v>
      </c>
      <c r="G28" s="68" t="s">
        <v>387</v>
      </c>
      <c r="H28" s="68">
        <v>1579</v>
      </c>
      <c r="I28" s="66" t="s">
        <v>292</v>
      </c>
      <c r="J28" s="68" t="s">
        <v>412</v>
      </c>
    </row>
    <row r="29" spans="1:10" s="65" customFormat="1" ht="75" x14ac:dyDescent="0.25">
      <c r="A29" s="952" t="s">
        <v>413</v>
      </c>
      <c r="B29" s="66" t="s">
        <v>414</v>
      </c>
      <c r="C29" s="66" t="s">
        <v>367</v>
      </c>
      <c r="D29" s="66" t="s">
        <v>415</v>
      </c>
      <c r="E29" s="66" t="s">
        <v>416</v>
      </c>
      <c r="F29" s="66" t="s">
        <v>417</v>
      </c>
      <c r="G29" s="68" t="s">
        <v>418</v>
      </c>
      <c r="H29" s="68" t="s">
        <v>419</v>
      </c>
      <c r="I29" s="66" t="s">
        <v>292</v>
      </c>
      <c r="J29" s="68" t="s">
        <v>420</v>
      </c>
    </row>
    <row r="30" spans="1:10" s="65" customFormat="1" ht="120" x14ac:dyDescent="0.25">
      <c r="A30" s="952" t="s">
        <v>421</v>
      </c>
      <c r="B30" s="66" t="s">
        <v>422</v>
      </c>
      <c r="C30" s="66" t="s">
        <v>288</v>
      </c>
      <c r="D30" s="66" t="s">
        <v>296</v>
      </c>
      <c r="E30" s="66">
        <v>1650</v>
      </c>
      <c r="F30" s="66" t="s">
        <v>316</v>
      </c>
      <c r="G30" s="68" t="s">
        <v>423</v>
      </c>
      <c r="H30" s="68">
        <v>1341</v>
      </c>
      <c r="I30" s="66" t="s">
        <v>292</v>
      </c>
      <c r="J30" s="68" t="s">
        <v>424</v>
      </c>
    </row>
    <row r="31" spans="1:10" s="65" customFormat="1" ht="135" x14ac:dyDescent="0.25">
      <c r="A31" s="952" t="s">
        <v>425</v>
      </c>
      <c r="B31" s="75" t="s">
        <v>426</v>
      </c>
      <c r="C31" s="66" t="s">
        <v>427</v>
      </c>
      <c r="D31" s="66" t="s">
        <v>289</v>
      </c>
      <c r="E31" s="66">
        <v>2690</v>
      </c>
      <c r="F31" s="66" t="s">
        <v>310</v>
      </c>
      <c r="G31" s="68" t="s">
        <v>380</v>
      </c>
      <c r="H31" s="68">
        <v>2585</v>
      </c>
      <c r="I31" s="66" t="s">
        <v>292</v>
      </c>
      <c r="J31" s="68" t="s">
        <v>428</v>
      </c>
    </row>
    <row r="32" spans="1:10" s="65" customFormat="1" ht="135" x14ac:dyDescent="0.25">
      <c r="A32" s="952" t="s">
        <v>429</v>
      </c>
      <c r="B32" s="66" t="s">
        <v>430</v>
      </c>
      <c r="C32" s="66" t="s">
        <v>431</v>
      </c>
      <c r="D32" s="66" t="s">
        <v>289</v>
      </c>
      <c r="E32" s="66">
        <v>1212</v>
      </c>
      <c r="F32" s="66" t="s">
        <v>310</v>
      </c>
      <c r="G32" s="68" t="s">
        <v>380</v>
      </c>
      <c r="H32" s="68">
        <v>1091</v>
      </c>
      <c r="I32" s="66" t="s">
        <v>292</v>
      </c>
      <c r="J32" s="68" t="s">
        <v>432</v>
      </c>
    </row>
    <row r="33" spans="1:10" s="65" customFormat="1" ht="90" x14ac:dyDescent="0.25">
      <c r="A33" s="952" t="s">
        <v>433</v>
      </c>
      <c r="B33" s="66" t="s">
        <v>434</v>
      </c>
      <c r="C33" s="66" t="s">
        <v>435</v>
      </c>
      <c r="D33" s="66" t="s">
        <v>289</v>
      </c>
      <c r="E33" s="66">
        <v>29287</v>
      </c>
      <c r="F33" s="66" t="s">
        <v>290</v>
      </c>
      <c r="G33" s="68" t="s">
        <v>436</v>
      </c>
      <c r="H33" s="68">
        <v>774</v>
      </c>
      <c r="I33" s="66" t="s">
        <v>292</v>
      </c>
      <c r="J33" s="68" t="s">
        <v>437</v>
      </c>
    </row>
    <row r="34" spans="1:10" s="65" customFormat="1" ht="150" x14ac:dyDescent="0.25">
      <c r="A34" s="952" t="s">
        <v>438</v>
      </c>
      <c r="B34" s="66" t="s">
        <v>439</v>
      </c>
      <c r="C34" s="66" t="s">
        <v>288</v>
      </c>
      <c r="D34" s="66" t="s">
        <v>289</v>
      </c>
      <c r="E34" s="66">
        <v>8153</v>
      </c>
      <c r="F34" s="66" t="s">
        <v>440</v>
      </c>
      <c r="G34" s="68" t="s">
        <v>441</v>
      </c>
      <c r="H34" s="68">
        <v>7715</v>
      </c>
      <c r="I34" s="66" t="s">
        <v>292</v>
      </c>
      <c r="J34" s="68" t="s">
        <v>442</v>
      </c>
    </row>
    <row r="35" spans="1:10" s="65" customFormat="1" ht="135" x14ac:dyDescent="0.25">
      <c r="A35" s="952" t="s">
        <v>443</v>
      </c>
      <c r="B35" s="66" t="s">
        <v>444</v>
      </c>
      <c r="C35" s="66" t="s">
        <v>431</v>
      </c>
      <c r="D35" s="66" t="s">
        <v>289</v>
      </c>
      <c r="E35" s="66">
        <v>4839</v>
      </c>
      <c r="F35" s="66" t="s">
        <v>310</v>
      </c>
      <c r="G35" s="68" t="s">
        <v>380</v>
      </c>
      <c r="H35" s="68">
        <v>4361</v>
      </c>
      <c r="I35" s="66" t="s">
        <v>292</v>
      </c>
      <c r="J35" s="68" t="s">
        <v>445</v>
      </c>
    </row>
    <row r="36" spans="1:10" s="65" customFormat="1" ht="45" x14ac:dyDescent="0.25">
      <c r="A36" s="952" t="s">
        <v>446</v>
      </c>
      <c r="B36" s="66" t="s">
        <v>447</v>
      </c>
      <c r="C36" s="66" t="s">
        <v>288</v>
      </c>
      <c r="D36" s="66" t="s">
        <v>289</v>
      </c>
      <c r="E36" s="66">
        <v>1581</v>
      </c>
      <c r="F36" s="66">
        <v>0.99</v>
      </c>
      <c r="G36" s="68" t="s">
        <v>343</v>
      </c>
      <c r="H36" s="68">
        <v>775</v>
      </c>
      <c r="I36" s="66" t="s">
        <v>292</v>
      </c>
      <c r="J36" s="68" t="s">
        <v>344</v>
      </c>
    </row>
    <row r="37" spans="1:10" s="65" customFormat="1" ht="135" x14ac:dyDescent="0.25">
      <c r="A37" s="952" t="s">
        <v>448</v>
      </c>
      <c r="B37" s="66" t="s">
        <v>449</v>
      </c>
      <c r="C37" s="66" t="s">
        <v>450</v>
      </c>
      <c r="D37" s="66" t="s">
        <v>451</v>
      </c>
      <c r="E37" s="66" t="s">
        <v>452</v>
      </c>
      <c r="F37" s="66" t="s">
        <v>290</v>
      </c>
      <c r="G37" s="68" t="s">
        <v>453</v>
      </c>
      <c r="H37" s="68" t="s">
        <v>454</v>
      </c>
      <c r="I37" s="66" t="s">
        <v>292</v>
      </c>
      <c r="J37" s="68" t="s">
        <v>455</v>
      </c>
    </row>
    <row r="38" spans="1:10" s="65" customFormat="1" ht="105" x14ac:dyDescent="0.25">
      <c r="A38" s="952" t="s">
        <v>456</v>
      </c>
      <c r="B38" s="66" t="s">
        <v>457</v>
      </c>
      <c r="C38" s="66" t="s">
        <v>367</v>
      </c>
      <c r="D38" s="66" t="s">
        <v>289</v>
      </c>
      <c r="E38" s="66">
        <v>2037</v>
      </c>
      <c r="F38" s="66" t="s">
        <v>458</v>
      </c>
      <c r="G38" s="68" t="s">
        <v>459</v>
      </c>
      <c r="H38" s="68">
        <v>1910</v>
      </c>
      <c r="I38" s="66" t="s">
        <v>292</v>
      </c>
      <c r="J38" s="68" t="s">
        <v>460</v>
      </c>
    </row>
    <row r="39" spans="1:10" s="65" customFormat="1" ht="45" x14ac:dyDescent="0.25">
      <c r="A39" s="952" t="s">
        <v>461</v>
      </c>
      <c r="B39" s="66" t="s">
        <v>462</v>
      </c>
      <c r="C39" s="66" t="s">
        <v>288</v>
      </c>
      <c r="D39" s="66" t="s">
        <v>289</v>
      </c>
      <c r="E39" s="66">
        <v>9947</v>
      </c>
      <c r="F39" s="66" t="s">
        <v>355</v>
      </c>
      <c r="G39" s="68" t="s">
        <v>356</v>
      </c>
      <c r="H39" s="68" t="s">
        <v>463</v>
      </c>
      <c r="I39" s="66" t="s">
        <v>292</v>
      </c>
      <c r="J39" s="68" t="s">
        <v>464</v>
      </c>
    </row>
    <row r="40" spans="1:10" s="65" customFormat="1" ht="150" x14ac:dyDescent="0.25">
      <c r="A40" s="952" t="s">
        <v>465</v>
      </c>
      <c r="B40" s="66" t="s">
        <v>466</v>
      </c>
      <c r="C40" s="66" t="s">
        <v>288</v>
      </c>
      <c r="D40" s="66" t="s">
        <v>289</v>
      </c>
      <c r="E40" s="66">
        <v>4037</v>
      </c>
      <c r="F40" s="66" t="s">
        <v>316</v>
      </c>
      <c r="G40" s="68" t="s">
        <v>467</v>
      </c>
      <c r="H40" s="68">
        <v>3676</v>
      </c>
      <c r="I40" s="66" t="s">
        <v>292</v>
      </c>
      <c r="J40" s="68" t="s">
        <v>468</v>
      </c>
    </row>
    <row r="41" spans="1:10" s="65" customFormat="1" ht="45" x14ac:dyDescent="0.25">
      <c r="A41" s="952" t="s">
        <v>469</v>
      </c>
      <c r="B41" s="66" t="s">
        <v>470</v>
      </c>
      <c r="C41" s="66" t="s">
        <v>471</v>
      </c>
      <c r="D41" s="66" t="s">
        <v>289</v>
      </c>
      <c r="E41" s="66">
        <v>1267</v>
      </c>
      <c r="F41" s="66" t="s">
        <v>472</v>
      </c>
      <c r="G41" s="68" t="s">
        <v>473</v>
      </c>
      <c r="H41" s="68" t="s">
        <v>474</v>
      </c>
      <c r="I41" s="66" t="s">
        <v>292</v>
      </c>
      <c r="J41" s="68" t="s">
        <v>312</v>
      </c>
    </row>
    <row r="42" spans="1:10" s="65" customFormat="1" ht="45" x14ac:dyDescent="0.25">
      <c r="A42" s="952" t="s">
        <v>475</v>
      </c>
      <c r="B42" s="66" t="s">
        <v>476</v>
      </c>
      <c r="C42" s="66" t="s">
        <v>471</v>
      </c>
      <c r="D42" s="66" t="s">
        <v>289</v>
      </c>
      <c r="E42" s="66">
        <v>1012</v>
      </c>
      <c r="F42" s="66" t="s">
        <v>472</v>
      </c>
      <c r="G42" s="68" t="s">
        <v>473</v>
      </c>
      <c r="H42" s="68" t="s">
        <v>477</v>
      </c>
      <c r="I42" s="66" t="s">
        <v>292</v>
      </c>
      <c r="J42" s="68" t="s">
        <v>312</v>
      </c>
    </row>
    <row r="43" spans="1:10" s="65" customFormat="1" ht="120" x14ac:dyDescent="0.25">
      <c r="A43" s="952" t="s">
        <v>478</v>
      </c>
      <c r="B43" s="66" t="s">
        <v>479</v>
      </c>
      <c r="C43" s="66" t="s">
        <v>480</v>
      </c>
      <c r="D43" s="66" t="s">
        <v>289</v>
      </c>
      <c r="E43" s="66" t="s">
        <v>481</v>
      </c>
      <c r="F43" s="66" t="s">
        <v>316</v>
      </c>
      <c r="G43" s="68" t="s">
        <v>482</v>
      </c>
      <c r="H43" s="68">
        <v>15114</v>
      </c>
      <c r="I43" s="66" t="s">
        <v>292</v>
      </c>
      <c r="J43" s="68" t="s">
        <v>483</v>
      </c>
    </row>
    <row r="44" spans="1:10" s="65" customFormat="1" ht="150" x14ac:dyDescent="0.25">
      <c r="A44" s="952" t="s">
        <v>484</v>
      </c>
      <c r="B44" s="66" t="s">
        <v>484</v>
      </c>
      <c r="C44" s="66" t="s">
        <v>288</v>
      </c>
      <c r="D44" s="66" t="s">
        <v>289</v>
      </c>
      <c r="E44" s="66">
        <v>6141</v>
      </c>
      <c r="F44" s="66" t="s">
        <v>316</v>
      </c>
      <c r="G44" s="68" t="s">
        <v>467</v>
      </c>
      <c r="H44" s="68">
        <v>5991</v>
      </c>
      <c r="I44" s="66" t="s">
        <v>292</v>
      </c>
      <c r="J44" s="68" t="s">
        <v>485</v>
      </c>
    </row>
    <row r="45" spans="1:10" s="65" customFormat="1" ht="90" x14ac:dyDescent="0.25">
      <c r="A45" s="952" t="s">
        <v>486</v>
      </c>
      <c r="B45" s="66" t="s">
        <v>487</v>
      </c>
      <c r="C45" s="66" t="s">
        <v>488</v>
      </c>
      <c r="D45" s="66" t="s">
        <v>296</v>
      </c>
      <c r="E45" s="66" t="s">
        <v>489</v>
      </c>
      <c r="F45" s="66" t="s">
        <v>316</v>
      </c>
      <c r="G45" s="68" t="s">
        <v>490</v>
      </c>
      <c r="H45" s="68">
        <v>2641</v>
      </c>
      <c r="I45" s="66" t="s">
        <v>292</v>
      </c>
      <c r="J45" s="68" t="s">
        <v>491</v>
      </c>
    </row>
    <row r="46" spans="1:10" s="65" customFormat="1" ht="105" x14ac:dyDescent="0.25">
      <c r="A46" s="952" t="s">
        <v>492</v>
      </c>
      <c r="B46" s="66" t="s">
        <v>493</v>
      </c>
      <c r="C46" s="66" t="s">
        <v>288</v>
      </c>
      <c r="D46" s="66" t="s">
        <v>494</v>
      </c>
      <c r="E46" s="66" t="s">
        <v>495</v>
      </c>
      <c r="F46" s="66" t="s">
        <v>310</v>
      </c>
      <c r="G46" s="68" t="s">
        <v>496</v>
      </c>
      <c r="H46" s="68" t="s">
        <v>497</v>
      </c>
      <c r="I46" s="66" t="s">
        <v>292</v>
      </c>
      <c r="J46" s="68" t="s">
        <v>498</v>
      </c>
    </row>
    <row r="47" spans="1:10" s="65" customFormat="1" ht="75" x14ac:dyDescent="0.25">
      <c r="A47" s="952" t="s">
        <v>499</v>
      </c>
      <c r="B47" s="66" t="s">
        <v>500</v>
      </c>
      <c r="C47" s="66" t="s">
        <v>288</v>
      </c>
      <c r="D47" s="66" t="s">
        <v>501</v>
      </c>
      <c r="E47" s="66">
        <v>2803</v>
      </c>
      <c r="F47" s="66" t="s">
        <v>290</v>
      </c>
      <c r="G47" s="68" t="s">
        <v>502</v>
      </c>
      <c r="H47" s="68">
        <v>2317</v>
      </c>
      <c r="I47" s="66" t="s">
        <v>292</v>
      </c>
      <c r="J47" s="68" t="s">
        <v>503</v>
      </c>
    </row>
    <row r="48" spans="1:10" s="65" customFormat="1" ht="45" x14ac:dyDescent="0.25">
      <c r="A48" s="952" t="s">
        <v>504</v>
      </c>
      <c r="B48" s="66" t="s">
        <v>505</v>
      </c>
      <c r="C48" s="66" t="s">
        <v>288</v>
      </c>
      <c r="D48" s="66" t="s">
        <v>289</v>
      </c>
      <c r="E48" s="66">
        <v>2921</v>
      </c>
      <c r="F48" s="66" t="s">
        <v>316</v>
      </c>
      <c r="G48" s="68" t="s">
        <v>506</v>
      </c>
      <c r="H48" s="68">
        <v>2847</v>
      </c>
      <c r="I48" s="66" t="s">
        <v>292</v>
      </c>
      <c r="J48" s="68" t="s">
        <v>507</v>
      </c>
    </row>
    <row r="49" spans="1:10" s="65" customFormat="1" ht="90" x14ac:dyDescent="0.25">
      <c r="A49" s="952" t="s">
        <v>508</v>
      </c>
      <c r="B49" s="66" t="s">
        <v>509</v>
      </c>
      <c r="C49" s="66" t="s">
        <v>510</v>
      </c>
      <c r="D49" s="66" t="s">
        <v>289</v>
      </c>
      <c r="E49" s="66">
        <v>902</v>
      </c>
      <c r="F49" s="66" t="s">
        <v>310</v>
      </c>
      <c r="G49" s="68" t="s">
        <v>511</v>
      </c>
      <c r="H49" s="68">
        <v>902</v>
      </c>
      <c r="I49" s="66" t="s">
        <v>326</v>
      </c>
      <c r="J49" s="68" t="s">
        <v>512</v>
      </c>
    </row>
    <row r="50" spans="1:10" s="65" customFormat="1" ht="135" x14ac:dyDescent="0.25">
      <c r="A50" s="952" t="s">
        <v>513</v>
      </c>
      <c r="B50" s="66" t="s">
        <v>514</v>
      </c>
      <c r="C50" s="66" t="s">
        <v>288</v>
      </c>
      <c r="D50" s="66" t="s">
        <v>515</v>
      </c>
      <c r="E50" s="66">
        <v>1664</v>
      </c>
      <c r="F50" s="66" t="s">
        <v>316</v>
      </c>
      <c r="G50" s="68" t="s">
        <v>516</v>
      </c>
      <c r="H50" s="68">
        <v>1664</v>
      </c>
      <c r="I50" s="66" t="s">
        <v>292</v>
      </c>
      <c r="J50" s="68" t="s">
        <v>517</v>
      </c>
    </row>
    <row r="51" spans="1:10" s="65" customFormat="1" ht="135" x14ac:dyDescent="0.25">
      <c r="A51" s="952" t="s">
        <v>518</v>
      </c>
      <c r="B51" s="66" t="s">
        <v>514</v>
      </c>
      <c r="C51" s="66" t="s">
        <v>288</v>
      </c>
      <c r="D51" s="66" t="s">
        <v>515</v>
      </c>
      <c r="E51" s="66">
        <v>977</v>
      </c>
      <c r="F51" s="66" t="s">
        <v>316</v>
      </c>
      <c r="G51" s="68" t="s">
        <v>516</v>
      </c>
      <c r="H51" s="68">
        <v>977</v>
      </c>
      <c r="I51" s="66" t="s">
        <v>292</v>
      </c>
      <c r="J51" s="68" t="s">
        <v>519</v>
      </c>
    </row>
    <row r="52" spans="1:10" s="65" customFormat="1" ht="75" x14ac:dyDescent="0.25">
      <c r="A52" s="952" t="s">
        <v>520</v>
      </c>
      <c r="B52" s="66" t="s">
        <v>521</v>
      </c>
      <c r="C52" s="66" t="s">
        <v>288</v>
      </c>
      <c r="D52" s="66" t="s">
        <v>522</v>
      </c>
      <c r="E52" s="66">
        <v>6375</v>
      </c>
      <c r="F52" s="66" t="s">
        <v>290</v>
      </c>
      <c r="G52" s="68" t="s">
        <v>523</v>
      </c>
      <c r="H52" s="68" t="s">
        <v>524</v>
      </c>
      <c r="I52" s="66" t="s">
        <v>326</v>
      </c>
      <c r="J52" s="969" t="s">
        <v>525</v>
      </c>
    </row>
    <row r="53" spans="1:10" s="65" customFormat="1" ht="135" x14ac:dyDescent="0.25">
      <c r="A53" s="952" t="s">
        <v>526</v>
      </c>
      <c r="B53" s="66" t="s">
        <v>527</v>
      </c>
      <c r="C53" s="66" t="s">
        <v>528</v>
      </c>
      <c r="D53" s="66" t="s">
        <v>289</v>
      </c>
      <c r="E53" s="66">
        <v>9765</v>
      </c>
      <c r="F53" s="66" t="s">
        <v>310</v>
      </c>
      <c r="G53" s="68" t="s">
        <v>380</v>
      </c>
      <c r="H53" s="68">
        <v>8414</v>
      </c>
      <c r="I53" s="66" t="s">
        <v>292</v>
      </c>
      <c r="J53" s="68" t="s">
        <v>529</v>
      </c>
    </row>
    <row r="54" spans="1:10" s="65" customFormat="1" ht="180" x14ac:dyDescent="0.25">
      <c r="A54" s="952" t="s">
        <v>530</v>
      </c>
      <c r="B54" s="66" t="s">
        <v>531</v>
      </c>
      <c r="C54" s="66" t="s">
        <v>288</v>
      </c>
      <c r="D54" s="66" t="s">
        <v>289</v>
      </c>
      <c r="E54" s="66">
        <v>10506</v>
      </c>
      <c r="F54" s="66" t="s">
        <v>290</v>
      </c>
      <c r="G54" s="68" t="s">
        <v>532</v>
      </c>
      <c r="H54" s="68">
        <v>9634</v>
      </c>
      <c r="I54" s="66" t="s">
        <v>326</v>
      </c>
      <c r="J54" s="68" t="s">
        <v>533</v>
      </c>
    </row>
    <row r="55" spans="1:10" s="65" customFormat="1" ht="240" x14ac:dyDescent="0.25">
      <c r="A55" s="952" t="s">
        <v>534</v>
      </c>
      <c r="B55" s="66" t="s">
        <v>535</v>
      </c>
      <c r="C55" s="66" t="s">
        <v>396</v>
      </c>
      <c r="D55" s="66" t="s">
        <v>289</v>
      </c>
      <c r="E55" s="66" t="s">
        <v>536</v>
      </c>
      <c r="F55" s="66" t="s">
        <v>324</v>
      </c>
      <c r="G55" s="68" t="s">
        <v>325</v>
      </c>
      <c r="H55" s="68">
        <v>6128</v>
      </c>
      <c r="I55" s="66" t="s">
        <v>326</v>
      </c>
      <c r="J55" s="71" t="s">
        <v>537</v>
      </c>
    </row>
    <row r="56" spans="1:10" s="65" customFormat="1" ht="45" x14ac:dyDescent="0.25">
      <c r="A56" s="952" t="s">
        <v>538</v>
      </c>
      <c r="B56" s="66" t="s">
        <v>539</v>
      </c>
      <c r="C56" s="66" t="s">
        <v>288</v>
      </c>
      <c r="D56" s="66" t="s">
        <v>289</v>
      </c>
      <c r="E56" s="66">
        <v>6604</v>
      </c>
      <c r="F56" s="66" t="s">
        <v>316</v>
      </c>
      <c r="G56" s="68" t="s">
        <v>540</v>
      </c>
      <c r="H56" s="68">
        <v>6127</v>
      </c>
      <c r="I56" s="66" t="s">
        <v>292</v>
      </c>
      <c r="J56" s="68" t="s">
        <v>541</v>
      </c>
    </row>
    <row r="57" spans="1:10" s="65" customFormat="1" ht="105" x14ac:dyDescent="0.25">
      <c r="A57" s="952" t="s">
        <v>542</v>
      </c>
      <c r="B57" s="66" t="s">
        <v>543</v>
      </c>
      <c r="C57" s="66" t="s">
        <v>288</v>
      </c>
      <c r="D57" s="66" t="s">
        <v>544</v>
      </c>
      <c r="E57" s="66">
        <v>3161</v>
      </c>
      <c r="F57" s="66" t="s">
        <v>316</v>
      </c>
      <c r="G57" s="68" t="s">
        <v>545</v>
      </c>
      <c r="H57" s="68">
        <v>3138</v>
      </c>
      <c r="I57" s="66" t="s">
        <v>326</v>
      </c>
      <c r="J57" s="68" t="s">
        <v>546</v>
      </c>
    </row>
    <row r="58" spans="1:10" s="65" customFormat="1" ht="60" x14ac:dyDescent="0.25">
      <c r="A58" s="952" t="s">
        <v>547</v>
      </c>
      <c r="B58" s="66" t="s">
        <v>548</v>
      </c>
      <c r="C58" s="66" t="s">
        <v>549</v>
      </c>
      <c r="D58" s="66" t="s">
        <v>289</v>
      </c>
      <c r="E58" s="66">
        <v>3509</v>
      </c>
      <c r="F58" s="66" t="s">
        <v>310</v>
      </c>
      <c r="G58" s="68" t="s">
        <v>550</v>
      </c>
      <c r="H58" s="68">
        <v>3509</v>
      </c>
      <c r="I58" s="66" t="s">
        <v>292</v>
      </c>
      <c r="J58" s="68" t="s">
        <v>551</v>
      </c>
    </row>
    <row r="59" spans="1:10" s="65" customFormat="1" ht="60" x14ac:dyDescent="0.25">
      <c r="A59" s="952" t="s">
        <v>552</v>
      </c>
      <c r="B59" s="66" t="s">
        <v>553</v>
      </c>
      <c r="C59" s="66" t="s">
        <v>288</v>
      </c>
      <c r="D59" s="66" t="s">
        <v>289</v>
      </c>
      <c r="E59" s="66">
        <v>21044</v>
      </c>
      <c r="F59" s="66" t="s">
        <v>554</v>
      </c>
      <c r="G59" s="68" t="s">
        <v>555</v>
      </c>
      <c r="H59" s="68">
        <v>21044</v>
      </c>
      <c r="I59" s="66" t="s">
        <v>326</v>
      </c>
      <c r="J59" s="68" t="s">
        <v>556</v>
      </c>
    </row>
    <row r="60" spans="1:10" s="65" customFormat="1" ht="75" x14ac:dyDescent="0.25">
      <c r="A60" s="952" t="s">
        <v>557</v>
      </c>
      <c r="B60" s="66" t="s">
        <v>422</v>
      </c>
      <c r="C60" s="66" t="s">
        <v>288</v>
      </c>
      <c r="D60" s="66" t="s">
        <v>289</v>
      </c>
      <c r="E60" s="66">
        <v>8994</v>
      </c>
      <c r="F60" s="66" t="s">
        <v>558</v>
      </c>
      <c r="G60" s="68" t="s">
        <v>559</v>
      </c>
      <c r="H60" s="68">
        <v>7845</v>
      </c>
      <c r="I60" s="66" t="s">
        <v>408</v>
      </c>
      <c r="J60" s="68" t="s">
        <v>560</v>
      </c>
    </row>
    <row r="61" spans="1:10" s="65" customFormat="1" ht="90" x14ac:dyDescent="0.25">
      <c r="A61" s="952" t="s">
        <v>561</v>
      </c>
      <c r="B61" s="66" t="s">
        <v>562</v>
      </c>
      <c r="C61" s="66" t="s">
        <v>510</v>
      </c>
      <c r="D61" s="66" t="s">
        <v>289</v>
      </c>
      <c r="E61" s="66">
        <v>4515</v>
      </c>
      <c r="F61" s="66" t="s">
        <v>310</v>
      </c>
      <c r="G61" s="68" t="s">
        <v>511</v>
      </c>
      <c r="H61" s="68">
        <v>4515</v>
      </c>
      <c r="I61" s="66" t="s">
        <v>326</v>
      </c>
      <c r="J61" s="68" t="s">
        <v>563</v>
      </c>
    </row>
    <row r="62" spans="1:10" s="65" customFormat="1" ht="75" x14ac:dyDescent="0.25">
      <c r="A62" s="952" t="s">
        <v>564</v>
      </c>
      <c r="B62" s="66" t="s">
        <v>565</v>
      </c>
      <c r="C62" s="66" t="s">
        <v>288</v>
      </c>
      <c r="D62" s="66" t="s">
        <v>289</v>
      </c>
      <c r="E62" s="66">
        <v>667</v>
      </c>
      <c r="F62" s="66" t="s">
        <v>310</v>
      </c>
      <c r="G62" s="68" t="s">
        <v>566</v>
      </c>
      <c r="H62" s="68">
        <v>582</v>
      </c>
      <c r="I62" s="66" t="s">
        <v>292</v>
      </c>
      <c r="J62" s="68" t="s">
        <v>312</v>
      </c>
    </row>
    <row r="63" spans="1:10" s="65" customFormat="1" ht="75" x14ac:dyDescent="0.25">
      <c r="A63" s="952" t="s">
        <v>567</v>
      </c>
      <c r="B63" s="66" t="s">
        <v>568</v>
      </c>
      <c r="C63" s="66" t="s">
        <v>288</v>
      </c>
      <c r="D63" s="66" t="s">
        <v>289</v>
      </c>
      <c r="E63" s="66">
        <v>961</v>
      </c>
      <c r="F63" s="66" t="s">
        <v>310</v>
      </c>
      <c r="G63" s="68" t="s">
        <v>566</v>
      </c>
      <c r="H63" s="68">
        <v>961</v>
      </c>
      <c r="I63" s="66" t="s">
        <v>292</v>
      </c>
      <c r="J63" s="68" t="s">
        <v>569</v>
      </c>
    </row>
    <row r="64" spans="1:10" s="65" customFormat="1" ht="135" x14ac:dyDescent="0.25">
      <c r="A64" s="952" t="s">
        <v>570</v>
      </c>
      <c r="B64" s="66" t="s">
        <v>571</v>
      </c>
      <c r="C64" s="66" t="s">
        <v>572</v>
      </c>
      <c r="D64" s="66" t="s">
        <v>573</v>
      </c>
      <c r="E64" s="66" t="s">
        <v>574</v>
      </c>
      <c r="F64" s="66" t="s">
        <v>324</v>
      </c>
      <c r="G64" s="68" t="s">
        <v>325</v>
      </c>
      <c r="H64" s="68">
        <v>22094</v>
      </c>
      <c r="I64" s="66" t="s">
        <v>326</v>
      </c>
      <c r="J64" s="71" t="s">
        <v>575</v>
      </c>
    </row>
    <row r="65" spans="1:10" s="65" customFormat="1" ht="75" x14ac:dyDescent="0.25">
      <c r="A65" s="952" t="s">
        <v>576</v>
      </c>
      <c r="B65" s="66" t="s">
        <v>577</v>
      </c>
      <c r="C65" s="66" t="s">
        <v>288</v>
      </c>
      <c r="D65" s="66" t="s">
        <v>289</v>
      </c>
      <c r="E65" s="66">
        <v>1527</v>
      </c>
      <c r="F65" s="66" t="s">
        <v>290</v>
      </c>
      <c r="G65" s="68" t="s">
        <v>578</v>
      </c>
      <c r="H65" s="68">
        <v>1078</v>
      </c>
      <c r="I65" s="66" t="s">
        <v>579</v>
      </c>
      <c r="J65" s="68" t="s">
        <v>580</v>
      </c>
    </row>
    <row r="66" spans="1:10" s="65" customFormat="1" ht="75" x14ac:dyDescent="0.25">
      <c r="A66" s="952" t="s">
        <v>581</v>
      </c>
      <c r="B66" s="66" t="s">
        <v>582</v>
      </c>
      <c r="C66" s="66" t="s">
        <v>288</v>
      </c>
      <c r="D66" s="66" t="s">
        <v>289</v>
      </c>
      <c r="E66" s="66">
        <v>313</v>
      </c>
      <c r="F66" s="66">
        <v>0.99</v>
      </c>
      <c r="G66" s="68" t="s">
        <v>387</v>
      </c>
      <c r="H66" s="68">
        <v>313</v>
      </c>
      <c r="I66" s="66" t="s">
        <v>292</v>
      </c>
      <c r="J66" s="76" t="s">
        <v>583</v>
      </c>
    </row>
    <row r="67" spans="1:10" s="65" customFormat="1" ht="30" x14ac:dyDescent="0.25">
      <c r="A67" s="952" t="s">
        <v>584</v>
      </c>
      <c r="B67" s="66" t="s">
        <v>585</v>
      </c>
      <c r="C67" s="66" t="s">
        <v>288</v>
      </c>
      <c r="D67" s="66" t="s">
        <v>289</v>
      </c>
      <c r="E67" s="66">
        <v>3163</v>
      </c>
      <c r="F67" s="66" t="s">
        <v>316</v>
      </c>
      <c r="G67" s="68" t="s">
        <v>586</v>
      </c>
      <c r="H67" s="68">
        <v>3163</v>
      </c>
      <c r="I67" s="66" t="s">
        <v>292</v>
      </c>
      <c r="J67" s="68" t="s">
        <v>587</v>
      </c>
    </row>
    <row r="68" spans="1:10" s="65" customFormat="1" ht="150" x14ac:dyDescent="0.25">
      <c r="A68" s="952" t="s">
        <v>588</v>
      </c>
      <c r="B68" s="66" t="s">
        <v>589</v>
      </c>
      <c r="C68" s="66" t="s">
        <v>590</v>
      </c>
      <c r="D68" s="66" t="s">
        <v>289</v>
      </c>
      <c r="E68" s="66">
        <v>1418</v>
      </c>
      <c r="F68" s="66" t="s">
        <v>316</v>
      </c>
      <c r="G68" s="68" t="s">
        <v>467</v>
      </c>
      <c r="H68" s="68">
        <v>1390</v>
      </c>
      <c r="I68" s="66" t="s">
        <v>292</v>
      </c>
      <c r="J68" s="68" t="s">
        <v>591</v>
      </c>
    </row>
    <row r="69" spans="1:10" s="65" customFormat="1" ht="60" x14ac:dyDescent="0.25">
      <c r="A69" s="952" t="s">
        <v>592</v>
      </c>
      <c r="B69" s="66" t="s">
        <v>593</v>
      </c>
      <c r="C69" s="66" t="s">
        <v>288</v>
      </c>
      <c r="D69" s="66" t="s">
        <v>289</v>
      </c>
      <c r="E69" s="66">
        <v>3964</v>
      </c>
      <c r="F69" s="66" t="s">
        <v>440</v>
      </c>
      <c r="G69" s="68" t="s">
        <v>594</v>
      </c>
      <c r="H69" s="68">
        <v>3878</v>
      </c>
      <c r="I69" s="66" t="s">
        <v>326</v>
      </c>
      <c r="J69" s="68" t="s">
        <v>595</v>
      </c>
    </row>
    <row r="70" spans="1:10" s="65" customFormat="1" ht="60" x14ac:dyDescent="0.25">
      <c r="A70" s="952" t="s">
        <v>596</v>
      </c>
      <c r="B70" s="66" t="s">
        <v>597</v>
      </c>
      <c r="C70" s="66" t="s">
        <v>288</v>
      </c>
      <c r="D70" s="66" t="s">
        <v>289</v>
      </c>
      <c r="E70" s="66">
        <v>4331</v>
      </c>
      <c r="F70" s="66" t="s">
        <v>440</v>
      </c>
      <c r="G70" s="68" t="s">
        <v>594</v>
      </c>
      <c r="H70" s="68">
        <v>4251</v>
      </c>
      <c r="I70" s="66" t="s">
        <v>326</v>
      </c>
      <c r="J70" s="68" t="s">
        <v>595</v>
      </c>
    </row>
    <row r="71" spans="1:10" s="65" customFormat="1" ht="105" x14ac:dyDescent="0.25">
      <c r="A71" s="952" t="s">
        <v>598</v>
      </c>
      <c r="B71" s="66" t="s">
        <v>599</v>
      </c>
      <c r="C71" s="66" t="s">
        <v>600</v>
      </c>
      <c r="D71" s="66" t="s">
        <v>601</v>
      </c>
      <c r="E71" s="66" t="s">
        <v>602</v>
      </c>
      <c r="F71" s="66" t="s">
        <v>603</v>
      </c>
      <c r="G71" s="68" t="s">
        <v>604</v>
      </c>
      <c r="H71" s="68" t="s">
        <v>602</v>
      </c>
      <c r="I71" s="66" t="s">
        <v>292</v>
      </c>
      <c r="J71" s="68" t="s">
        <v>605</v>
      </c>
    </row>
    <row r="72" spans="1:10" s="65" customFormat="1" ht="90" x14ac:dyDescent="0.25">
      <c r="A72" s="952" t="s">
        <v>606</v>
      </c>
      <c r="B72" s="66" t="s">
        <v>606</v>
      </c>
      <c r="C72" s="66" t="s">
        <v>510</v>
      </c>
      <c r="D72" s="66" t="s">
        <v>296</v>
      </c>
      <c r="E72" s="66">
        <v>1015</v>
      </c>
      <c r="F72" s="66" t="s">
        <v>310</v>
      </c>
      <c r="G72" s="68" t="s">
        <v>511</v>
      </c>
      <c r="H72" s="68">
        <v>1015</v>
      </c>
      <c r="I72" s="66" t="s">
        <v>326</v>
      </c>
      <c r="J72" s="68" t="s">
        <v>312</v>
      </c>
    </row>
    <row r="73" spans="1:10" s="65" customFormat="1" ht="150" x14ac:dyDescent="0.25">
      <c r="A73" s="952" t="s">
        <v>607</v>
      </c>
      <c r="B73" s="66" t="s">
        <v>608</v>
      </c>
      <c r="C73" s="66" t="s">
        <v>600</v>
      </c>
      <c r="D73" s="66" t="s">
        <v>601</v>
      </c>
      <c r="E73" s="66" t="s">
        <v>609</v>
      </c>
      <c r="F73" s="66" t="s">
        <v>610</v>
      </c>
      <c r="G73" s="68" t="s">
        <v>604</v>
      </c>
      <c r="H73" s="68" t="s">
        <v>609</v>
      </c>
      <c r="I73" s="66" t="s">
        <v>292</v>
      </c>
      <c r="J73" s="68" t="s">
        <v>611</v>
      </c>
    </row>
    <row r="74" spans="1:10" s="65" customFormat="1" ht="45" x14ac:dyDescent="0.25">
      <c r="A74" s="952" t="s">
        <v>612</v>
      </c>
      <c r="B74" s="66" t="s">
        <v>613</v>
      </c>
      <c r="C74" s="66" t="s">
        <v>288</v>
      </c>
      <c r="D74" s="66" t="s">
        <v>614</v>
      </c>
      <c r="E74" s="66">
        <v>560</v>
      </c>
      <c r="F74" s="66" t="s">
        <v>290</v>
      </c>
      <c r="G74" s="68" t="s">
        <v>615</v>
      </c>
      <c r="H74" s="68">
        <v>548</v>
      </c>
      <c r="I74" s="66" t="s">
        <v>292</v>
      </c>
      <c r="J74" s="68" t="s">
        <v>616</v>
      </c>
    </row>
    <row r="75" spans="1:10" s="65" customFormat="1" ht="90" x14ac:dyDescent="0.25">
      <c r="A75" s="952" t="s">
        <v>617</v>
      </c>
      <c r="B75" s="66" t="s">
        <v>618</v>
      </c>
      <c r="C75" s="66" t="s">
        <v>510</v>
      </c>
      <c r="D75" s="66" t="s">
        <v>289</v>
      </c>
      <c r="E75" s="66">
        <v>999</v>
      </c>
      <c r="F75" s="66" t="s">
        <v>310</v>
      </c>
      <c r="G75" s="68" t="s">
        <v>511</v>
      </c>
      <c r="H75" s="68">
        <v>999</v>
      </c>
      <c r="I75" s="66" t="s">
        <v>326</v>
      </c>
      <c r="J75" s="68" t="s">
        <v>619</v>
      </c>
    </row>
    <row r="76" spans="1:10" s="65" customFormat="1" ht="105" x14ac:dyDescent="0.25">
      <c r="A76" s="952" t="s">
        <v>620</v>
      </c>
      <c r="B76" s="66" t="s">
        <v>620</v>
      </c>
      <c r="C76" s="66" t="s">
        <v>288</v>
      </c>
      <c r="D76" s="66" t="s">
        <v>621</v>
      </c>
      <c r="E76" s="66">
        <v>120286</v>
      </c>
      <c r="F76" s="66" t="s">
        <v>290</v>
      </c>
      <c r="G76" s="68" t="s">
        <v>622</v>
      </c>
      <c r="H76" s="68">
        <v>119572</v>
      </c>
      <c r="I76" s="66" t="s">
        <v>292</v>
      </c>
      <c r="J76" s="68" t="s">
        <v>623</v>
      </c>
    </row>
    <row r="77" spans="1:10" s="65" customFormat="1" ht="75" x14ac:dyDescent="0.25">
      <c r="A77" s="952" t="s">
        <v>624</v>
      </c>
      <c r="B77" s="66" t="s">
        <v>625</v>
      </c>
      <c r="C77" s="66" t="s">
        <v>288</v>
      </c>
      <c r="D77" s="66" t="s">
        <v>289</v>
      </c>
      <c r="E77" s="66">
        <v>1102</v>
      </c>
      <c r="F77" s="66" t="s">
        <v>310</v>
      </c>
      <c r="G77" s="68" t="s">
        <v>566</v>
      </c>
      <c r="H77" s="68">
        <v>1102</v>
      </c>
      <c r="I77" s="66" t="s">
        <v>292</v>
      </c>
      <c r="J77" s="68" t="s">
        <v>626</v>
      </c>
    </row>
    <row r="78" spans="1:10" s="65" customFormat="1" ht="150" x14ac:dyDescent="0.25">
      <c r="A78" s="952" t="s">
        <v>627</v>
      </c>
      <c r="B78" s="66" t="s">
        <v>628</v>
      </c>
      <c r="C78" s="66" t="s">
        <v>572</v>
      </c>
      <c r="D78" s="66" t="s">
        <v>289</v>
      </c>
      <c r="E78" s="66" t="s">
        <v>629</v>
      </c>
      <c r="F78" s="66" t="s">
        <v>316</v>
      </c>
      <c r="G78" s="68" t="s">
        <v>467</v>
      </c>
      <c r="H78" s="68" t="s">
        <v>630</v>
      </c>
      <c r="I78" s="66" t="s">
        <v>292</v>
      </c>
      <c r="J78" s="68" t="s">
        <v>591</v>
      </c>
    </row>
    <row r="79" spans="1:10" s="65" customFormat="1" ht="60" x14ac:dyDescent="0.25">
      <c r="A79" s="952" t="s">
        <v>631</v>
      </c>
      <c r="B79" s="66" t="s">
        <v>632</v>
      </c>
      <c r="C79" s="66" t="s">
        <v>288</v>
      </c>
      <c r="D79" s="66" t="s">
        <v>289</v>
      </c>
      <c r="E79" s="66">
        <v>22618</v>
      </c>
      <c r="F79" s="66" t="s">
        <v>290</v>
      </c>
      <c r="G79" s="68" t="s">
        <v>633</v>
      </c>
      <c r="H79" s="68">
        <v>22618</v>
      </c>
      <c r="I79" s="66" t="s">
        <v>579</v>
      </c>
      <c r="J79" s="68" t="s">
        <v>634</v>
      </c>
    </row>
    <row r="80" spans="1:10" s="65" customFormat="1" ht="135" x14ac:dyDescent="0.25">
      <c r="A80" s="952" t="s">
        <v>635</v>
      </c>
      <c r="B80" s="66" t="s">
        <v>636</v>
      </c>
      <c r="C80" s="66" t="s">
        <v>637</v>
      </c>
      <c r="D80" s="66" t="s">
        <v>302</v>
      </c>
      <c r="E80" s="66" t="s">
        <v>638</v>
      </c>
      <c r="F80" s="66" t="s">
        <v>290</v>
      </c>
      <c r="G80" s="68" t="s">
        <v>639</v>
      </c>
      <c r="H80" s="68" t="s">
        <v>638</v>
      </c>
      <c r="I80" s="66" t="s">
        <v>292</v>
      </c>
      <c r="J80" s="68" t="s">
        <v>640</v>
      </c>
    </row>
    <row r="81" spans="1:10" s="65" customFormat="1" ht="90" x14ac:dyDescent="0.25">
      <c r="A81" s="952" t="s">
        <v>5319</v>
      </c>
      <c r="B81" s="66" t="s">
        <v>642</v>
      </c>
      <c r="C81" s="66" t="s">
        <v>510</v>
      </c>
      <c r="D81" s="66" t="s">
        <v>289</v>
      </c>
      <c r="E81" s="66">
        <v>2016</v>
      </c>
      <c r="F81" s="66" t="s">
        <v>310</v>
      </c>
      <c r="G81" s="68" t="s">
        <v>511</v>
      </c>
      <c r="H81" s="68">
        <v>2016</v>
      </c>
      <c r="I81" s="66" t="s">
        <v>326</v>
      </c>
      <c r="J81" s="68" t="s">
        <v>643</v>
      </c>
    </row>
    <row r="82" spans="1:10" s="65" customFormat="1" ht="60" x14ac:dyDescent="0.25">
      <c r="A82" s="970" t="s">
        <v>644</v>
      </c>
      <c r="B82" s="83" t="s">
        <v>645</v>
      </c>
      <c r="C82" s="83" t="s">
        <v>288</v>
      </c>
      <c r="D82" s="83" t="s">
        <v>289</v>
      </c>
      <c r="E82" s="83">
        <v>1998</v>
      </c>
      <c r="F82" s="83" t="s">
        <v>290</v>
      </c>
      <c r="G82" s="165" t="s">
        <v>646</v>
      </c>
      <c r="H82" s="165">
        <v>1893</v>
      </c>
      <c r="I82" s="83" t="s">
        <v>326</v>
      </c>
      <c r="J82" s="165" t="s">
        <v>647</v>
      </c>
    </row>
    <row r="83" spans="1:10" s="65" customFormat="1" x14ac:dyDescent="0.25">
      <c r="A83" s="65" t="s">
        <v>5318</v>
      </c>
      <c r="B83" s="66"/>
      <c r="C83" s="66"/>
      <c r="D83" s="66"/>
      <c r="E83" s="66"/>
      <c r="F83" s="66"/>
      <c r="G83" s="68"/>
      <c r="H83" s="68"/>
      <c r="I83" s="66"/>
      <c r="J83" s="68"/>
    </row>
    <row r="84" spans="1:10" x14ac:dyDescent="0.25">
      <c r="B84" s="70" t="s">
        <v>1</v>
      </c>
      <c r="G84" s="70" t="s">
        <v>1</v>
      </c>
    </row>
  </sheetData>
  <mergeCells count="9">
    <mergeCell ref="A1:J1"/>
    <mergeCell ref="A3:B3"/>
    <mergeCell ref="C3:C4"/>
    <mergeCell ref="D3:D4"/>
    <mergeCell ref="E3:E4"/>
    <mergeCell ref="F3:G3"/>
    <mergeCell ref="H3:H4"/>
    <mergeCell ref="I3:I4"/>
    <mergeCell ref="J3:J4"/>
  </mergeCells>
  <phoneticPr fontId="101" type="noConversion"/>
  <hyperlinks>
    <hyperlink ref="J61" r:id="rId1" xr:uid="{00000000-0004-0000-0300-000000000000}"/>
  </hyperlinks>
  <pageMargins left="0.5" right="0.5" top="0.5" bottom="0.5" header="0.05" footer="0.05"/>
  <pageSetup scale="48"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3"/>
  <sheetViews>
    <sheetView workbookViewId="0">
      <pane xSplit="2" ySplit="5" topLeftCell="C6" activePane="bottomRight" state="frozen"/>
      <selection pane="topRight" activeCell="G76" sqref="G76"/>
      <selection pane="bottomLeft" activeCell="G76" sqref="G76"/>
      <selection pane="bottomRight" activeCell="C8" sqref="C8"/>
    </sheetView>
  </sheetViews>
  <sheetFormatPr defaultColWidth="8.7109375" defaultRowHeight="12.75" x14ac:dyDescent="0.2"/>
  <cols>
    <col min="1" max="1" width="13" style="971" customWidth="1"/>
    <col min="2" max="2" width="26.42578125" style="971" bestFit="1" customWidth="1"/>
    <col min="3" max="3" width="29.140625" style="971" customWidth="1"/>
    <col min="4" max="4" width="21.140625" style="971" bestFit="1" customWidth="1"/>
    <col min="5" max="5" width="26.7109375" style="971" customWidth="1"/>
    <col min="6" max="6" width="8.140625" style="971" bestFit="1" customWidth="1"/>
    <col min="7" max="7" width="20.42578125" style="971" bestFit="1" customWidth="1"/>
    <col min="8" max="8" width="20" style="971" bestFit="1" customWidth="1"/>
    <col min="9" max="9" width="11.28515625" style="971" customWidth="1"/>
    <col min="10" max="10" width="22.85546875" style="971" customWidth="1"/>
    <col min="11" max="11" width="20" style="971" bestFit="1" customWidth="1"/>
    <col min="12" max="16384" width="8.7109375" style="971"/>
  </cols>
  <sheetData>
    <row r="1" spans="1:11" ht="15" x14ac:dyDescent="0.2">
      <c r="A1" s="1272" t="s">
        <v>5565</v>
      </c>
      <c r="B1" s="1272"/>
      <c r="C1" s="1272"/>
      <c r="D1" s="1272"/>
      <c r="E1" s="1272"/>
      <c r="F1" s="1272"/>
      <c r="G1" s="1272"/>
      <c r="H1" s="1272"/>
      <c r="I1" s="1272"/>
      <c r="J1" s="1272"/>
      <c r="K1" s="1272"/>
    </row>
    <row r="2" spans="1:11" ht="15" x14ac:dyDescent="0.25">
      <c r="A2" s="952"/>
      <c r="B2" s="77"/>
      <c r="C2" s="77"/>
      <c r="D2" s="77"/>
      <c r="E2" s="77"/>
      <c r="F2" s="77"/>
      <c r="G2" s="77"/>
      <c r="H2" s="78"/>
      <c r="I2" s="78"/>
      <c r="J2" s="77"/>
      <c r="K2" s="77"/>
    </row>
    <row r="3" spans="1:11" ht="45" customHeight="1" x14ac:dyDescent="0.2">
      <c r="A3" s="1267" t="s">
        <v>648</v>
      </c>
      <c r="B3" s="1267" t="s">
        <v>649</v>
      </c>
      <c r="C3" s="1267" t="s">
        <v>650</v>
      </c>
      <c r="D3" s="1273" t="s">
        <v>651</v>
      </c>
      <c r="E3" s="1273"/>
      <c r="F3" s="950"/>
      <c r="G3" s="950"/>
      <c r="H3" s="950"/>
      <c r="I3" s="1274" t="s">
        <v>656</v>
      </c>
      <c r="J3" s="1267" t="s">
        <v>652</v>
      </c>
      <c r="K3" s="1267"/>
    </row>
    <row r="4" spans="1:11" ht="15" customHeight="1" x14ac:dyDescent="0.2">
      <c r="A4" s="1271"/>
      <c r="B4" s="1271"/>
      <c r="C4" s="1271"/>
      <c r="D4" s="1271" t="s">
        <v>653</v>
      </c>
      <c r="E4" s="1271" t="s">
        <v>654</v>
      </c>
      <c r="F4" s="1271" t="s">
        <v>655</v>
      </c>
      <c r="G4" s="1271"/>
      <c r="H4" s="1271"/>
      <c r="I4" s="1269"/>
      <c r="J4" s="1269" t="s">
        <v>657</v>
      </c>
      <c r="K4" s="1271" t="s">
        <v>658</v>
      </c>
    </row>
    <row r="5" spans="1:11" ht="26.25" customHeight="1" thickBot="1" x14ac:dyDescent="0.3">
      <c r="A5" s="1268"/>
      <c r="B5" s="1268"/>
      <c r="C5" s="1268"/>
      <c r="D5" s="1268"/>
      <c r="E5" s="1268"/>
      <c r="F5" s="844" t="s">
        <v>659</v>
      </c>
      <c r="G5" s="951" t="s">
        <v>284</v>
      </c>
      <c r="H5" s="844" t="s">
        <v>660</v>
      </c>
      <c r="I5" s="1270"/>
      <c r="J5" s="1270"/>
      <c r="K5" s="1268"/>
    </row>
    <row r="6" spans="1:11" ht="45.75" thickTop="1" x14ac:dyDescent="0.25">
      <c r="A6" s="952" t="s">
        <v>286</v>
      </c>
      <c r="B6" s="66" t="s">
        <v>661</v>
      </c>
      <c r="C6" s="66" t="s">
        <v>662</v>
      </c>
      <c r="D6" s="972" t="s">
        <v>663</v>
      </c>
      <c r="E6" s="66" t="s">
        <v>664</v>
      </c>
      <c r="F6" s="79" t="s">
        <v>665</v>
      </c>
      <c r="G6" s="79" t="s">
        <v>290</v>
      </c>
      <c r="H6" s="66" t="s">
        <v>666</v>
      </c>
      <c r="I6" s="66">
        <v>233013</v>
      </c>
      <c r="J6" s="973">
        <v>153987</v>
      </c>
      <c r="K6" s="66" t="s">
        <v>667</v>
      </c>
    </row>
    <row r="7" spans="1:11" ht="17.25" x14ac:dyDescent="0.25">
      <c r="A7" s="974" t="s">
        <v>294</v>
      </c>
      <c r="B7" s="80" t="s">
        <v>668</v>
      </c>
      <c r="C7" s="80" t="s">
        <v>669</v>
      </c>
      <c r="D7" s="975" t="s">
        <v>670</v>
      </c>
      <c r="E7" s="80" t="s">
        <v>670</v>
      </c>
      <c r="F7" s="81" t="s">
        <v>671</v>
      </c>
      <c r="G7" s="81" t="s">
        <v>290</v>
      </c>
      <c r="H7" s="80" t="s">
        <v>672</v>
      </c>
      <c r="I7" s="80">
        <v>223290</v>
      </c>
      <c r="J7" s="82">
        <v>40905</v>
      </c>
      <c r="K7" s="80" t="s">
        <v>667</v>
      </c>
    </row>
    <row r="8" spans="1:11" ht="30" x14ac:dyDescent="0.25">
      <c r="A8" s="952" t="s">
        <v>300</v>
      </c>
      <c r="B8" s="66" t="s">
        <v>673</v>
      </c>
      <c r="C8" s="66" t="s">
        <v>674</v>
      </c>
      <c r="D8" s="66" t="s">
        <v>675</v>
      </c>
      <c r="E8" s="66" t="s">
        <v>676</v>
      </c>
      <c r="F8" s="66" t="s">
        <v>671</v>
      </c>
      <c r="G8" s="66" t="s">
        <v>290</v>
      </c>
      <c r="H8" s="66" t="s">
        <v>677</v>
      </c>
      <c r="I8" s="66">
        <v>237898</v>
      </c>
      <c r="J8" s="82">
        <v>148699</v>
      </c>
      <c r="K8" s="66" t="s">
        <v>678</v>
      </c>
    </row>
    <row r="9" spans="1:11" ht="30" x14ac:dyDescent="0.25">
      <c r="A9" s="952" t="s">
        <v>307</v>
      </c>
      <c r="B9" s="66" t="s">
        <v>679</v>
      </c>
      <c r="C9" s="66" t="s">
        <v>680</v>
      </c>
      <c r="D9" s="66" t="s">
        <v>681</v>
      </c>
      <c r="E9" s="66" t="s">
        <v>682</v>
      </c>
      <c r="F9" s="66" t="s">
        <v>671</v>
      </c>
      <c r="G9" s="66" t="s">
        <v>290</v>
      </c>
      <c r="H9" s="66" t="s">
        <v>677</v>
      </c>
      <c r="I9" s="66">
        <v>242474</v>
      </c>
      <c r="J9" s="82">
        <v>133040</v>
      </c>
      <c r="K9" s="66" t="s">
        <v>678</v>
      </c>
    </row>
    <row r="10" spans="1:11" ht="30" x14ac:dyDescent="0.25">
      <c r="A10" s="952" t="s">
        <v>313</v>
      </c>
      <c r="B10" s="66" t="s">
        <v>673</v>
      </c>
      <c r="C10" s="66" t="s">
        <v>683</v>
      </c>
      <c r="D10" s="66" t="s">
        <v>684</v>
      </c>
      <c r="E10" s="66" t="s">
        <v>685</v>
      </c>
      <c r="F10" s="66" t="s">
        <v>686</v>
      </c>
      <c r="G10" s="66" t="s">
        <v>316</v>
      </c>
      <c r="H10" s="66" t="s">
        <v>677</v>
      </c>
      <c r="I10" s="66">
        <v>244669</v>
      </c>
      <c r="J10" s="82">
        <v>139372</v>
      </c>
      <c r="K10" s="66" t="s">
        <v>667</v>
      </c>
    </row>
    <row r="11" spans="1:11" ht="34.5" x14ac:dyDescent="0.25">
      <c r="A11" s="952" t="s">
        <v>319</v>
      </c>
      <c r="B11" s="66" t="s">
        <v>687</v>
      </c>
      <c r="C11" s="66" t="s">
        <v>688</v>
      </c>
      <c r="D11" s="66" t="s">
        <v>689</v>
      </c>
      <c r="E11" s="66" t="s">
        <v>690</v>
      </c>
      <c r="F11" s="66" t="s">
        <v>671</v>
      </c>
      <c r="G11" s="66" t="s">
        <v>554</v>
      </c>
      <c r="H11" s="66" t="s">
        <v>691</v>
      </c>
      <c r="I11" s="66">
        <v>236737</v>
      </c>
      <c r="J11" s="82">
        <v>82824</v>
      </c>
      <c r="K11" s="66" t="s">
        <v>667</v>
      </c>
    </row>
    <row r="12" spans="1:11" ht="30" x14ac:dyDescent="0.25">
      <c r="A12" s="952" t="s">
        <v>328</v>
      </c>
      <c r="B12" s="66" t="s">
        <v>692</v>
      </c>
      <c r="C12" s="66" t="s">
        <v>693</v>
      </c>
      <c r="D12" s="66" t="s">
        <v>684</v>
      </c>
      <c r="E12" s="66" t="s">
        <v>694</v>
      </c>
      <c r="F12" s="66" t="s">
        <v>686</v>
      </c>
      <c r="G12" s="66" t="s">
        <v>310</v>
      </c>
      <c r="H12" s="66" t="s">
        <v>695</v>
      </c>
      <c r="I12" s="66">
        <v>245322</v>
      </c>
      <c r="J12" s="973">
        <v>92641</v>
      </c>
      <c r="K12" s="66" t="s">
        <v>667</v>
      </c>
    </row>
    <row r="13" spans="1:11" ht="60" x14ac:dyDescent="0.25">
      <c r="A13" s="952" t="s">
        <v>334</v>
      </c>
      <c r="B13" s="66" t="s">
        <v>696</v>
      </c>
      <c r="C13" s="66" t="s">
        <v>662</v>
      </c>
      <c r="D13" s="976" t="s">
        <v>697</v>
      </c>
      <c r="E13" s="66" t="s">
        <v>698</v>
      </c>
      <c r="F13" s="66" t="s">
        <v>665</v>
      </c>
      <c r="G13" s="66" t="s">
        <v>290</v>
      </c>
      <c r="H13" s="66" t="s">
        <v>677</v>
      </c>
      <c r="I13" s="66" t="s">
        <v>699</v>
      </c>
      <c r="J13" s="66" t="s">
        <v>700</v>
      </c>
      <c r="K13" s="66" t="s">
        <v>678</v>
      </c>
    </row>
    <row r="14" spans="1:11" ht="30" x14ac:dyDescent="0.25">
      <c r="A14" s="952" t="s">
        <v>341</v>
      </c>
      <c r="B14" s="66" t="s">
        <v>701</v>
      </c>
      <c r="C14" s="66" t="s">
        <v>702</v>
      </c>
      <c r="D14" s="66" t="s">
        <v>703</v>
      </c>
      <c r="E14" s="66" t="s">
        <v>685</v>
      </c>
      <c r="F14" s="66" t="s">
        <v>665</v>
      </c>
      <c r="G14" s="66" t="s">
        <v>704</v>
      </c>
      <c r="H14" s="66" t="s">
        <v>705</v>
      </c>
      <c r="I14" s="66">
        <v>234995</v>
      </c>
      <c r="J14" s="82">
        <v>64531</v>
      </c>
      <c r="K14" s="66" t="s">
        <v>667</v>
      </c>
    </row>
    <row r="15" spans="1:11" ht="15" x14ac:dyDescent="0.25">
      <c r="A15" s="952" t="s">
        <v>345</v>
      </c>
      <c r="B15" s="66" t="s">
        <v>673</v>
      </c>
      <c r="C15" s="66" t="s">
        <v>706</v>
      </c>
      <c r="D15" s="66" t="s">
        <v>689</v>
      </c>
      <c r="E15" s="66" t="s">
        <v>685</v>
      </c>
      <c r="F15" s="66" t="s">
        <v>665</v>
      </c>
      <c r="G15" s="66" t="s">
        <v>554</v>
      </c>
      <c r="H15" s="66" t="s">
        <v>686</v>
      </c>
      <c r="I15" s="66">
        <v>227061</v>
      </c>
      <c r="J15" s="82">
        <v>113606</v>
      </c>
      <c r="K15" s="66" t="s">
        <v>667</v>
      </c>
    </row>
    <row r="16" spans="1:11" ht="45" x14ac:dyDescent="0.25">
      <c r="A16" s="952" t="s">
        <v>349</v>
      </c>
      <c r="B16" s="66" t="s">
        <v>707</v>
      </c>
      <c r="C16" s="66" t="s">
        <v>708</v>
      </c>
      <c r="D16" s="66" t="s">
        <v>709</v>
      </c>
      <c r="E16" s="66" t="s">
        <v>710</v>
      </c>
      <c r="F16" s="66" t="s">
        <v>686</v>
      </c>
      <c r="G16" s="66" t="s">
        <v>290</v>
      </c>
      <c r="H16" s="66" t="s">
        <v>677</v>
      </c>
      <c r="I16" s="66">
        <v>239844</v>
      </c>
      <c r="J16" s="82">
        <v>55138</v>
      </c>
      <c r="K16" s="66" t="s">
        <v>678</v>
      </c>
    </row>
    <row r="17" spans="1:11" ht="60" x14ac:dyDescent="0.25">
      <c r="A17" s="952" t="s">
        <v>354</v>
      </c>
      <c r="B17" s="66" t="s">
        <v>673</v>
      </c>
      <c r="C17" s="66" t="s">
        <v>711</v>
      </c>
      <c r="D17" s="66" t="s">
        <v>703</v>
      </c>
      <c r="E17" s="66" t="s">
        <v>712</v>
      </c>
      <c r="F17" s="66" t="s">
        <v>686</v>
      </c>
      <c r="G17" s="66" t="s">
        <v>373</v>
      </c>
      <c r="H17" s="66" t="s">
        <v>677</v>
      </c>
      <c r="I17" s="66">
        <v>234824</v>
      </c>
      <c r="J17" s="82">
        <v>234824</v>
      </c>
      <c r="K17" s="66" t="s">
        <v>678</v>
      </c>
    </row>
    <row r="18" spans="1:11" ht="45" x14ac:dyDescent="0.2">
      <c r="A18" s="977" t="s">
        <v>359</v>
      </c>
      <c r="B18" s="166" t="s">
        <v>713</v>
      </c>
      <c r="C18" s="166" t="s">
        <v>714</v>
      </c>
      <c r="D18" s="166" t="s">
        <v>715</v>
      </c>
      <c r="E18" s="166" t="s">
        <v>716</v>
      </c>
      <c r="F18" s="167" t="s">
        <v>312</v>
      </c>
      <c r="G18" s="168" t="s">
        <v>312</v>
      </c>
      <c r="H18" s="168" t="s">
        <v>312</v>
      </c>
      <c r="I18" s="166" t="s">
        <v>717</v>
      </c>
      <c r="J18" s="166" t="s">
        <v>717</v>
      </c>
      <c r="K18" s="166" t="s">
        <v>718</v>
      </c>
    </row>
    <row r="19" spans="1:11" ht="17.25" x14ac:dyDescent="0.25">
      <c r="A19" s="952" t="s">
        <v>365</v>
      </c>
      <c r="B19" s="66" t="s">
        <v>673</v>
      </c>
      <c r="C19" s="66" t="s">
        <v>662</v>
      </c>
      <c r="D19" s="66" t="s">
        <v>719</v>
      </c>
      <c r="E19" s="66" t="s">
        <v>710</v>
      </c>
      <c r="F19" s="66" t="s">
        <v>665</v>
      </c>
      <c r="G19" s="66" t="s">
        <v>290</v>
      </c>
      <c r="H19" s="66" t="s">
        <v>677</v>
      </c>
      <c r="I19" s="66">
        <v>245370</v>
      </c>
      <c r="J19" s="82">
        <v>89384</v>
      </c>
      <c r="K19" s="66" t="s">
        <v>678</v>
      </c>
    </row>
    <row r="20" spans="1:11" ht="45" x14ac:dyDescent="0.25">
      <c r="A20" s="952" t="s">
        <v>370</v>
      </c>
      <c r="B20" s="66" t="s">
        <v>720</v>
      </c>
      <c r="C20" s="66" t="s">
        <v>721</v>
      </c>
      <c r="D20" s="66" t="s">
        <v>722</v>
      </c>
      <c r="E20" s="66" t="s">
        <v>723</v>
      </c>
      <c r="F20" s="66" t="s">
        <v>686</v>
      </c>
      <c r="G20" s="66" t="s">
        <v>290</v>
      </c>
      <c r="H20" s="66" t="s">
        <v>724</v>
      </c>
      <c r="I20" s="66">
        <v>799756</v>
      </c>
      <c r="J20" s="82">
        <v>752829</v>
      </c>
      <c r="K20" s="66" t="s">
        <v>678</v>
      </c>
    </row>
    <row r="21" spans="1:11" ht="60" x14ac:dyDescent="0.25">
      <c r="A21" s="952" t="s">
        <v>377</v>
      </c>
      <c r="B21" s="66" t="s">
        <v>725</v>
      </c>
      <c r="C21" s="66" t="s">
        <v>726</v>
      </c>
      <c r="D21" s="66" t="s">
        <v>684</v>
      </c>
      <c r="E21" s="66" t="s">
        <v>685</v>
      </c>
      <c r="F21" s="66" t="s">
        <v>665</v>
      </c>
      <c r="G21" s="66" t="s">
        <v>290</v>
      </c>
      <c r="H21" s="66" t="s">
        <v>666</v>
      </c>
      <c r="I21" s="82">
        <v>241972</v>
      </c>
      <c r="J21" s="82">
        <v>62015</v>
      </c>
      <c r="K21" s="66" t="s">
        <v>727</v>
      </c>
    </row>
    <row r="22" spans="1:11" ht="45" x14ac:dyDescent="0.25">
      <c r="A22" s="952" t="s">
        <v>382</v>
      </c>
      <c r="B22" s="66" t="s">
        <v>728</v>
      </c>
      <c r="C22" s="66" t="s">
        <v>729</v>
      </c>
      <c r="D22" s="66" t="s">
        <v>684</v>
      </c>
      <c r="E22" s="66" t="s">
        <v>685</v>
      </c>
      <c r="F22" s="66" t="s">
        <v>665</v>
      </c>
      <c r="G22" s="66" t="s">
        <v>290</v>
      </c>
      <c r="H22" s="66" t="s">
        <v>666</v>
      </c>
      <c r="I22" s="66">
        <v>101413</v>
      </c>
      <c r="J22" s="82">
        <v>62002</v>
      </c>
      <c r="K22" s="66" t="s">
        <v>727</v>
      </c>
    </row>
    <row r="23" spans="1:11" ht="30" x14ac:dyDescent="0.25">
      <c r="A23" s="952" t="s">
        <v>385</v>
      </c>
      <c r="B23" s="66" t="s">
        <v>730</v>
      </c>
      <c r="C23" s="66" t="s">
        <v>731</v>
      </c>
      <c r="D23" s="66" t="s">
        <v>684</v>
      </c>
      <c r="E23" s="66" t="s">
        <v>685</v>
      </c>
      <c r="F23" s="66" t="s">
        <v>686</v>
      </c>
      <c r="G23" s="66" t="s">
        <v>704</v>
      </c>
      <c r="H23" s="66" t="s">
        <v>695</v>
      </c>
      <c r="I23" s="66">
        <v>234763</v>
      </c>
      <c r="J23" s="82">
        <v>96644</v>
      </c>
      <c r="K23" s="66" t="s">
        <v>667</v>
      </c>
    </row>
    <row r="24" spans="1:11" ht="30" x14ac:dyDescent="0.25">
      <c r="A24" s="952" t="s">
        <v>389</v>
      </c>
      <c r="B24" s="66" t="s">
        <v>732</v>
      </c>
      <c r="C24" s="66" t="s">
        <v>733</v>
      </c>
      <c r="D24" s="66" t="s">
        <v>684</v>
      </c>
      <c r="E24" s="66" t="s">
        <v>685</v>
      </c>
      <c r="F24" s="66" t="s">
        <v>665</v>
      </c>
      <c r="G24" s="66" t="s">
        <v>440</v>
      </c>
      <c r="H24" s="66" t="s">
        <v>734</v>
      </c>
      <c r="I24" s="66">
        <v>241834</v>
      </c>
      <c r="J24" s="82">
        <v>102498</v>
      </c>
      <c r="K24" s="66" t="s">
        <v>667</v>
      </c>
    </row>
    <row r="25" spans="1:11" ht="34.5" x14ac:dyDescent="0.25">
      <c r="A25" s="952" t="s">
        <v>735</v>
      </c>
      <c r="B25" s="66" t="s">
        <v>687</v>
      </c>
      <c r="C25" s="66" t="s">
        <v>688</v>
      </c>
      <c r="D25" s="66" t="s">
        <v>689</v>
      </c>
      <c r="E25" s="66" t="s">
        <v>690</v>
      </c>
      <c r="F25" s="66" t="s">
        <v>671</v>
      </c>
      <c r="G25" s="66" t="s">
        <v>554</v>
      </c>
      <c r="H25" s="66" t="s">
        <v>691</v>
      </c>
      <c r="I25" s="66">
        <v>228846</v>
      </c>
      <c r="J25" s="82">
        <v>173971</v>
      </c>
      <c r="K25" s="66" t="s">
        <v>667</v>
      </c>
    </row>
    <row r="26" spans="1:11" ht="45" x14ac:dyDescent="0.25">
      <c r="A26" s="952" t="s">
        <v>401</v>
      </c>
      <c r="B26" s="66" t="s">
        <v>679</v>
      </c>
      <c r="C26" s="66" t="s">
        <v>736</v>
      </c>
      <c r="D26" s="66" t="s">
        <v>737</v>
      </c>
      <c r="E26" s="66" t="s">
        <v>738</v>
      </c>
      <c r="F26" s="66" t="s">
        <v>686</v>
      </c>
      <c r="G26" s="66" t="s">
        <v>310</v>
      </c>
      <c r="H26" s="66" t="s">
        <v>677</v>
      </c>
      <c r="I26" s="66">
        <v>240027</v>
      </c>
      <c r="J26" s="82">
        <v>107789</v>
      </c>
      <c r="K26" s="66" t="s">
        <v>667</v>
      </c>
    </row>
    <row r="27" spans="1:11" ht="60" x14ac:dyDescent="0.25">
      <c r="A27" s="952" t="s">
        <v>405</v>
      </c>
      <c r="B27" s="66" t="s">
        <v>739</v>
      </c>
      <c r="C27" s="66" t="s">
        <v>740</v>
      </c>
      <c r="D27" s="66" t="s">
        <v>684</v>
      </c>
      <c r="E27" s="66" t="s">
        <v>741</v>
      </c>
      <c r="F27" s="66" t="s">
        <v>665</v>
      </c>
      <c r="G27" s="66" t="s">
        <v>742</v>
      </c>
      <c r="H27" s="66" t="s">
        <v>743</v>
      </c>
      <c r="I27" s="82">
        <v>233185</v>
      </c>
      <c r="J27" s="82">
        <v>101355</v>
      </c>
      <c r="K27" s="66" t="s">
        <v>678</v>
      </c>
    </row>
    <row r="28" spans="1:11" ht="17.25" x14ac:dyDescent="0.25">
      <c r="A28" s="952" t="s">
        <v>410</v>
      </c>
      <c r="B28" s="66" t="s">
        <v>744</v>
      </c>
      <c r="C28" s="66" t="s">
        <v>731</v>
      </c>
      <c r="D28" s="66" t="s">
        <v>684</v>
      </c>
      <c r="E28" s="66" t="s">
        <v>745</v>
      </c>
      <c r="F28" s="66" t="s">
        <v>686</v>
      </c>
      <c r="G28" s="66" t="s">
        <v>316</v>
      </c>
      <c r="H28" s="66" t="s">
        <v>695</v>
      </c>
      <c r="I28" s="66">
        <v>236695</v>
      </c>
      <c r="J28" s="82">
        <v>97733</v>
      </c>
      <c r="K28" s="66" t="s">
        <v>678</v>
      </c>
    </row>
    <row r="29" spans="1:11" ht="45" x14ac:dyDescent="0.25">
      <c r="A29" s="952" t="s">
        <v>413</v>
      </c>
      <c r="B29" s="66" t="s">
        <v>673</v>
      </c>
      <c r="C29" s="66" t="s">
        <v>746</v>
      </c>
      <c r="D29" s="976" t="s">
        <v>697</v>
      </c>
      <c r="E29" s="66" t="s">
        <v>710</v>
      </c>
      <c r="F29" s="66" t="s">
        <v>671</v>
      </c>
      <c r="G29" s="66" t="s">
        <v>747</v>
      </c>
      <c r="H29" s="66" t="s">
        <v>686</v>
      </c>
      <c r="I29" s="66" t="s">
        <v>748</v>
      </c>
      <c r="J29" s="82" t="s">
        <v>749</v>
      </c>
      <c r="K29" s="66" t="s">
        <v>667</v>
      </c>
    </row>
    <row r="30" spans="1:11" ht="30" x14ac:dyDescent="0.2">
      <c r="A30" s="845" t="s">
        <v>421</v>
      </c>
      <c r="B30" s="846" t="s">
        <v>673</v>
      </c>
      <c r="C30" s="847" t="s">
        <v>693</v>
      </c>
      <c r="D30" s="846" t="s">
        <v>684</v>
      </c>
      <c r="E30" s="846" t="s">
        <v>685</v>
      </c>
      <c r="F30" s="848" t="s">
        <v>750</v>
      </c>
      <c r="G30" s="846" t="s">
        <v>554</v>
      </c>
      <c r="H30" s="846" t="s">
        <v>751</v>
      </c>
      <c r="I30" s="849">
        <v>241979</v>
      </c>
      <c r="J30" s="850">
        <v>99394</v>
      </c>
      <c r="K30" s="846" t="s">
        <v>667</v>
      </c>
    </row>
    <row r="31" spans="1:11" ht="45" x14ac:dyDescent="0.25">
      <c r="A31" s="952" t="s">
        <v>425</v>
      </c>
      <c r="B31" s="66" t="s">
        <v>728</v>
      </c>
      <c r="C31" s="66" t="s">
        <v>729</v>
      </c>
      <c r="D31" s="66" t="s">
        <v>684</v>
      </c>
      <c r="E31" s="66" t="s">
        <v>685</v>
      </c>
      <c r="F31" s="66" t="s">
        <v>665</v>
      </c>
      <c r="G31" s="66" t="s">
        <v>290</v>
      </c>
      <c r="H31" s="66" t="s">
        <v>666</v>
      </c>
      <c r="I31" s="82">
        <v>238984</v>
      </c>
      <c r="J31" s="82">
        <v>81883</v>
      </c>
      <c r="K31" s="66" t="s">
        <v>727</v>
      </c>
    </row>
    <row r="32" spans="1:11" ht="45" x14ac:dyDescent="0.25">
      <c r="A32" s="952" t="s">
        <v>429</v>
      </c>
      <c r="B32" s="66" t="s">
        <v>728</v>
      </c>
      <c r="C32" s="66" t="s">
        <v>729</v>
      </c>
      <c r="D32" s="66" t="s">
        <v>684</v>
      </c>
      <c r="E32" s="66" t="s">
        <v>685</v>
      </c>
      <c r="F32" s="66" t="s">
        <v>665</v>
      </c>
      <c r="G32" s="66" t="s">
        <v>290</v>
      </c>
      <c r="H32" s="66" t="s">
        <v>666</v>
      </c>
      <c r="I32" s="82">
        <v>238984</v>
      </c>
      <c r="J32" s="82">
        <v>63310</v>
      </c>
      <c r="K32" s="66" t="s">
        <v>727</v>
      </c>
    </row>
    <row r="33" spans="1:11" ht="30" x14ac:dyDescent="0.25">
      <c r="A33" s="952" t="s">
        <v>433</v>
      </c>
      <c r="B33" s="66" t="s">
        <v>752</v>
      </c>
      <c r="C33" s="66" t="s">
        <v>693</v>
      </c>
      <c r="D33" s="976" t="s">
        <v>697</v>
      </c>
      <c r="E33" s="66" t="s">
        <v>651</v>
      </c>
      <c r="F33" s="66" t="s">
        <v>686</v>
      </c>
      <c r="G33" s="66" t="s">
        <v>753</v>
      </c>
      <c r="H33" s="66" t="s">
        <v>686</v>
      </c>
      <c r="I33" s="66">
        <v>219702</v>
      </c>
      <c r="J33" s="82">
        <v>66303</v>
      </c>
      <c r="K33" s="66" t="s">
        <v>667</v>
      </c>
    </row>
    <row r="34" spans="1:11" ht="30" x14ac:dyDescent="0.25">
      <c r="A34" s="952" t="s">
        <v>438</v>
      </c>
      <c r="B34" s="66" t="s">
        <v>673</v>
      </c>
      <c r="C34" s="66" t="s">
        <v>674</v>
      </c>
      <c r="D34" s="976" t="s">
        <v>697</v>
      </c>
      <c r="E34" s="66" t="s">
        <v>710</v>
      </c>
      <c r="F34" s="66" t="s">
        <v>665</v>
      </c>
      <c r="G34" s="66" t="s">
        <v>440</v>
      </c>
      <c r="H34" s="66" t="s">
        <v>754</v>
      </c>
      <c r="I34" s="66">
        <v>246673</v>
      </c>
      <c r="J34" s="82">
        <v>133293</v>
      </c>
      <c r="K34" s="66" t="s">
        <v>667</v>
      </c>
    </row>
    <row r="35" spans="1:11" ht="45" x14ac:dyDescent="0.25">
      <c r="A35" s="952" t="s">
        <v>443</v>
      </c>
      <c r="B35" s="66" t="s">
        <v>728</v>
      </c>
      <c r="C35" s="66" t="s">
        <v>729</v>
      </c>
      <c r="D35" s="66" t="s">
        <v>684</v>
      </c>
      <c r="E35" s="66" t="s">
        <v>685</v>
      </c>
      <c r="F35" s="66" t="s">
        <v>665</v>
      </c>
      <c r="G35" s="66" t="s">
        <v>290</v>
      </c>
      <c r="H35" s="66" t="s">
        <v>666</v>
      </c>
      <c r="I35" s="82">
        <v>238984</v>
      </c>
      <c r="J35" s="82">
        <v>80155</v>
      </c>
      <c r="K35" s="66" t="s">
        <v>727</v>
      </c>
    </row>
    <row r="36" spans="1:11" ht="30" x14ac:dyDescent="0.25">
      <c r="A36" s="952" t="s">
        <v>446</v>
      </c>
      <c r="B36" s="66" t="s">
        <v>701</v>
      </c>
      <c r="C36" s="66" t="s">
        <v>702</v>
      </c>
      <c r="D36" s="66" t="s">
        <v>703</v>
      </c>
      <c r="E36" s="66" t="s">
        <v>685</v>
      </c>
      <c r="F36" s="66" t="s">
        <v>665</v>
      </c>
      <c r="G36" s="66" t="s">
        <v>704</v>
      </c>
      <c r="H36" s="66" t="s">
        <v>705</v>
      </c>
      <c r="I36" s="66">
        <v>239867</v>
      </c>
      <c r="J36" s="82">
        <v>70386</v>
      </c>
      <c r="K36" s="66" t="s">
        <v>667</v>
      </c>
    </row>
    <row r="37" spans="1:11" ht="45" x14ac:dyDescent="0.2">
      <c r="A37" s="952" t="s">
        <v>448</v>
      </c>
      <c r="B37" s="66" t="s">
        <v>755</v>
      </c>
      <c r="C37" s="66" t="s">
        <v>756</v>
      </c>
      <c r="D37" s="66" t="s">
        <v>689</v>
      </c>
      <c r="E37" s="66" t="s">
        <v>757</v>
      </c>
      <c r="F37" s="66" t="s">
        <v>686</v>
      </c>
      <c r="G37" s="66" t="s">
        <v>290</v>
      </c>
      <c r="H37" s="66" t="s">
        <v>686</v>
      </c>
      <c r="I37" s="66" t="s">
        <v>758</v>
      </c>
      <c r="J37" s="66" t="s">
        <v>759</v>
      </c>
      <c r="K37" s="66" t="s">
        <v>667</v>
      </c>
    </row>
    <row r="38" spans="1:11" ht="45" x14ac:dyDescent="0.25">
      <c r="A38" s="952" t="s">
        <v>456</v>
      </c>
      <c r="B38" s="66" t="s">
        <v>760</v>
      </c>
      <c r="C38" s="66" t="s">
        <v>761</v>
      </c>
      <c r="D38" s="66" t="s">
        <v>762</v>
      </c>
      <c r="E38" s="66" t="s">
        <v>762</v>
      </c>
      <c r="F38" s="66" t="s">
        <v>665</v>
      </c>
      <c r="G38" s="66" t="s">
        <v>763</v>
      </c>
      <c r="H38" s="66" t="s">
        <v>677</v>
      </c>
      <c r="I38" s="66">
        <v>245901</v>
      </c>
      <c r="J38" s="82">
        <v>96963</v>
      </c>
      <c r="K38" s="66" t="s">
        <v>667</v>
      </c>
    </row>
    <row r="39" spans="1:11" ht="60" x14ac:dyDescent="0.25">
      <c r="A39" s="952" t="s">
        <v>461</v>
      </c>
      <c r="B39" s="66" t="s">
        <v>673</v>
      </c>
      <c r="C39" s="66" t="s">
        <v>711</v>
      </c>
      <c r="D39" s="66" t="s">
        <v>703</v>
      </c>
      <c r="E39" s="66" t="s">
        <v>712</v>
      </c>
      <c r="F39" s="66" t="s">
        <v>686</v>
      </c>
      <c r="G39" s="66" t="s">
        <v>373</v>
      </c>
      <c r="H39" s="66" t="s">
        <v>677</v>
      </c>
      <c r="I39" s="66">
        <v>232931</v>
      </c>
      <c r="J39" s="82">
        <v>136001</v>
      </c>
      <c r="K39" s="66" t="s">
        <v>678</v>
      </c>
    </row>
    <row r="40" spans="1:11" ht="45" x14ac:dyDescent="0.25">
      <c r="A40" s="952" t="s">
        <v>465</v>
      </c>
      <c r="B40" s="66" t="s">
        <v>764</v>
      </c>
      <c r="C40" s="66" t="s">
        <v>765</v>
      </c>
      <c r="D40" s="66" t="s">
        <v>684</v>
      </c>
      <c r="E40" s="66" t="s">
        <v>766</v>
      </c>
      <c r="F40" s="66" t="s">
        <v>665</v>
      </c>
      <c r="G40" s="66" t="s">
        <v>316</v>
      </c>
      <c r="H40" s="66" t="s">
        <v>695</v>
      </c>
      <c r="I40" s="82">
        <v>227842</v>
      </c>
      <c r="J40" s="82">
        <v>128036</v>
      </c>
      <c r="K40" s="66" t="s">
        <v>767</v>
      </c>
    </row>
    <row r="41" spans="1:11" ht="60" x14ac:dyDescent="0.25">
      <c r="A41" s="952" t="s">
        <v>469</v>
      </c>
      <c r="B41" s="66" t="s">
        <v>768</v>
      </c>
      <c r="C41" s="66" t="s">
        <v>769</v>
      </c>
      <c r="D41" s="66" t="s">
        <v>681</v>
      </c>
      <c r="E41" s="66" t="s">
        <v>770</v>
      </c>
      <c r="F41" s="66" t="s">
        <v>671</v>
      </c>
      <c r="G41" s="66" t="s">
        <v>771</v>
      </c>
      <c r="H41" s="66" t="s">
        <v>677</v>
      </c>
      <c r="I41" s="66">
        <v>239497</v>
      </c>
      <c r="J41" s="82">
        <v>60488</v>
      </c>
      <c r="K41" s="66" t="s">
        <v>678</v>
      </c>
    </row>
    <row r="42" spans="1:11" ht="60" x14ac:dyDescent="0.25">
      <c r="A42" s="952" t="s">
        <v>475</v>
      </c>
      <c r="B42" s="66" t="s">
        <v>768</v>
      </c>
      <c r="C42" s="66" t="s">
        <v>769</v>
      </c>
      <c r="D42" s="66" t="s">
        <v>684</v>
      </c>
      <c r="E42" s="66" t="s">
        <v>770</v>
      </c>
      <c r="F42" s="66" t="s">
        <v>671</v>
      </c>
      <c r="G42" s="66" t="s">
        <v>771</v>
      </c>
      <c r="H42" s="66" t="s">
        <v>677</v>
      </c>
      <c r="I42" s="66">
        <v>239506</v>
      </c>
      <c r="J42" s="82">
        <v>54882</v>
      </c>
      <c r="K42" s="66" t="s">
        <v>678</v>
      </c>
    </row>
    <row r="43" spans="1:11" ht="30" x14ac:dyDescent="0.25">
      <c r="A43" s="952" t="s">
        <v>478</v>
      </c>
      <c r="B43" s="66" t="s">
        <v>732</v>
      </c>
      <c r="C43" s="66" t="s">
        <v>693</v>
      </c>
      <c r="D43" s="66" t="s">
        <v>772</v>
      </c>
      <c r="E43" s="66" t="s">
        <v>773</v>
      </c>
      <c r="F43" s="66" t="s">
        <v>686</v>
      </c>
      <c r="G43" s="66" t="s">
        <v>774</v>
      </c>
      <c r="H43" s="66" t="s">
        <v>695</v>
      </c>
      <c r="I43" s="66">
        <v>231575</v>
      </c>
      <c r="J43" s="82">
        <v>86581</v>
      </c>
      <c r="K43" s="66" t="s">
        <v>678</v>
      </c>
    </row>
    <row r="44" spans="1:11" ht="45" x14ac:dyDescent="0.25">
      <c r="A44" s="952" t="s">
        <v>484</v>
      </c>
      <c r="B44" s="66" t="s">
        <v>764</v>
      </c>
      <c r="C44" s="66" t="s">
        <v>765</v>
      </c>
      <c r="D44" s="66" t="s">
        <v>684</v>
      </c>
      <c r="E44" s="66" t="s">
        <v>775</v>
      </c>
      <c r="F44" s="66" t="s">
        <v>665</v>
      </c>
      <c r="G44" s="66" t="s">
        <v>316</v>
      </c>
      <c r="H44" s="66" t="s">
        <v>695</v>
      </c>
      <c r="I44" s="82">
        <v>227842</v>
      </c>
      <c r="J44" s="82">
        <v>139181</v>
      </c>
      <c r="K44" s="66" t="s">
        <v>767</v>
      </c>
    </row>
    <row r="45" spans="1:11" ht="30" x14ac:dyDescent="0.2">
      <c r="A45" s="845" t="s">
        <v>776</v>
      </c>
      <c r="B45" s="846" t="s">
        <v>777</v>
      </c>
      <c r="C45" s="847" t="s">
        <v>683</v>
      </c>
      <c r="D45" s="846" t="s">
        <v>684</v>
      </c>
      <c r="E45" s="846" t="s">
        <v>778</v>
      </c>
      <c r="F45" s="848" t="s">
        <v>665</v>
      </c>
      <c r="G45" s="846" t="s">
        <v>290</v>
      </c>
      <c r="H45" s="846" t="s">
        <v>751</v>
      </c>
      <c r="I45" s="849">
        <v>237967</v>
      </c>
      <c r="J45" s="850">
        <v>128317</v>
      </c>
      <c r="K45" s="846" t="s">
        <v>667</v>
      </c>
    </row>
    <row r="46" spans="1:11" ht="30" x14ac:dyDescent="0.2">
      <c r="A46" s="952" t="s">
        <v>492</v>
      </c>
      <c r="B46" s="66" t="s">
        <v>779</v>
      </c>
      <c r="C46" s="66" t="s">
        <v>780</v>
      </c>
      <c r="D46" s="66" t="s">
        <v>781</v>
      </c>
      <c r="E46" s="66" t="s">
        <v>685</v>
      </c>
      <c r="F46" s="66" t="s">
        <v>665</v>
      </c>
      <c r="G46" s="66" t="s">
        <v>310</v>
      </c>
      <c r="H46" s="66" t="s">
        <v>686</v>
      </c>
      <c r="I46" s="66" t="s">
        <v>782</v>
      </c>
      <c r="J46" s="66" t="s">
        <v>783</v>
      </c>
      <c r="K46" s="66" t="s">
        <v>667</v>
      </c>
    </row>
    <row r="47" spans="1:11" ht="90" x14ac:dyDescent="0.25">
      <c r="A47" s="952" t="s">
        <v>499</v>
      </c>
      <c r="B47" s="66" t="s">
        <v>673</v>
      </c>
      <c r="C47" s="66" t="s">
        <v>784</v>
      </c>
      <c r="D47" s="66" t="s">
        <v>785</v>
      </c>
      <c r="E47" s="66" t="s">
        <v>786</v>
      </c>
      <c r="F47" s="66" t="s">
        <v>665</v>
      </c>
      <c r="G47" s="66" t="s">
        <v>290</v>
      </c>
      <c r="H47" s="66" t="s">
        <v>686</v>
      </c>
      <c r="I47" s="82">
        <v>246669</v>
      </c>
      <c r="J47" s="82">
        <v>136949</v>
      </c>
      <c r="K47" s="66" t="s">
        <v>667</v>
      </c>
    </row>
    <row r="48" spans="1:11" ht="30" x14ac:dyDescent="0.2">
      <c r="A48" s="952" t="s">
        <v>504</v>
      </c>
      <c r="B48" s="66" t="s">
        <v>673</v>
      </c>
      <c r="C48" s="66" t="s">
        <v>693</v>
      </c>
      <c r="D48" s="66" t="s">
        <v>684</v>
      </c>
      <c r="E48" s="66" t="s">
        <v>682</v>
      </c>
      <c r="F48" s="66" t="s">
        <v>686</v>
      </c>
      <c r="G48" s="66" t="s">
        <v>316</v>
      </c>
      <c r="H48" s="66" t="s">
        <v>787</v>
      </c>
      <c r="I48" s="66">
        <v>245976</v>
      </c>
      <c r="J48" s="66">
        <v>66896</v>
      </c>
      <c r="K48" s="66" t="s">
        <v>678</v>
      </c>
    </row>
    <row r="49" spans="1:11" ht="30" x14ac:dyDescent="0.25">
      <c r="A49" s="952" t="s">
        <v>508</v>
      </c>
      <c r="B49" s="66" t="s">
        <v>768</v>
      </c>
      <c r="C49" s="66" t="s">
        <v>693</v>
      </c>
      <c r="D49" s="66" t="s">
        <v>788</v>
      </c>
      <c r="E49" s="66" t="s">
        <v>685</v>
      </c>
      <c r="F49" s="66" t="s">
        <v>665</v>
      </c>
      <c r="G49" s="66" t="s">
        <v>310</v>
      </c>
      <c r="H49" s="66" t="s">
        <v>695</v>
      </c>
      <c r="I49" s="66">
        <v>231460</v>
      </c>
      <c r="J49" s="82">
        <v>82683</v>
      </c>
      <c r="K49" s="66" t="s">
        <v>667</v>
      </c>
    </row>
    <row r="50" spans="1:11" ht="30" x14ac:dyDescent="0.25">
      <c r="A50" s="952" t="s">
        <v>513</v>
      </c>
      <c r="B50" s="66" t="s">
        <v>789</v>
      </c>
      <c r="C50" s="66" t="s">
        <v>693</v>
      </c>
      <c r="D50" s="66" t="s">
        <v>785</v>
      </c>
      <c r="E50" s="66" t="s">
        <v>710</v>
      </c>
      <c r="F50" s="66" t="s">
        <v>671</v>
      </c>
      <c r="G50" s="66" t="s">
        <v>290</v>
      </c>
      <c r="H50" s="66" t="s">
        <v>695</v>
      </c>
      <c r="I50" s="66">
        <v>240270</v>
      </c>
      <c r="J50" s="82">
        <v>73936</v>
      </c>
      <c r="K50" s="66" t="s">
        <v>667</v>
      </c>
    </row>
    <row r="51" spans="1:11" ht="45" x14ac:dyDescent="0.25">
      <c r="A51" s="952" t="s">
        <v>518</v>
      </c>
      <c r="B51" s="66" t="s">
        <v>790</v>
      </c>
      <c r="C51" s="66" t="s">
        <v>693</v>
      </c>
      <c r="D51" s="66" t="s">
        <v>785</v>
      </c>
      <c r="E51" s="66" t="s">
        <v>710</v>
      </c>
      <c r="F51" s="66" t="s">
        <v>671</v>
      </c>
      <c r="G51" s="66" t="s">
        <v>290</v>
      </c>
      <c r="H51" s="66" t="s">
        <v>695</v>
      </c>
      <c r="I51" s="66">
        <v>240115</v>
      </c>
      <c r="J51" s="82">
        <v>67834</v>
      </c>
      <c r="K51" s="66" t="s">
        <v>667</v>
      </c>
    </row>
    <row r="52" spans="1:11" ht="17.25" x14ac:dyDescent="0.25">
      <c r="A52" s="952" t="s">
        <v>520</v>
      </c>
      <c r="B52" s="66" t="s">
        <v>791</v>
      </c>
      <c r="C52" s="66" t="s">
        <v>792</v>
      </c>
      <c r="D52" s="976" t="s">
        <v>697</v>
      </c>
      <c r="E52" s="66" t="s">
        <v>685</v>
      </c>
      <c r="F52" s="66" t="s">
        <v>665</v>
      </c>
      <c r="G52" s="66" t="s">
        <v>440</v>
      </c>
      <c r="H52" s="66" t="s">
        <v>677</v>
      </c>
      <c r="I52" s="66">
        <v>238876</v>
      </c>
      <c r="J52" s="82">
        <v>136368</v>
      </c>
      <c r="K52" s="66" t="s">
        <v>678</v>
      </c>
    </row>
    <row r="53" spans="1:11" ht="60" x14ac:dyDescent="0.25">
      <c r="A53" s="952" t="s">
        <v>526</v>
      </c>
      <c r="B53" s="66" t="s">
        <v>725</v>
      </c>
      <c r="C53" s="66" t="s">
        <v>726</v>
      </c>
      <c r="D53" s="66" t="s">
        <v>684</v>
      </c>
      <c r="E53" s="66" t="s">
        <v>685</v>
      </c>
      <c r="F53" s="66" t="s">
        <v>665</v>
      </c>
      <c r="G53" s="66" t="s">
        <v>290</v>
      </c>
      <c r="H53" s="66" t="s">
        <v>666</v>
      </c>
      <c r="I53" s="82">
        <v>241972</v>
      </c>
      <c r="J53" s="82">
        <v>91099</v>
      </c>
      <c r="K53" s="66" t="s">
        <v>727</v>
      </c>
    </row>
    <row r="54" spans="1:11" ht="30" x14ac:dyDescent="0.25">
      <c r="A54" s="952" t="s">
        <v>530</v>
      </c>
      <c r="B54" s="66" t="s">
        <v>673</v>
      </c>
      <c r="C54" s="66" t="s">
        <v>693</v>
      </c>
      <c r="D54" s="66" t="s">
        <v>793</v>
      </c>
      <c r="E54" s="66" t="s">
        <v>682</v>
      </c>
      <c r="F54" s="66" t="s">
        <v>665</v>
      </c>
      <c r="G54" s="66" t="s">
        <v>440</v>
      </c>
      <c r="H54" s="66" t="s">
        <v>677</v>
      </c>
      <c r="I54" s="66">
        <v>245241</v>
      </c>
      <c r="J54" s="82">
        <v>136395</v>
      </c>
      <c r="K54" s="66" t="s">
        <v>678</v>
      </c>
    </row>
    <row r="55" spans="1:11" ht="34.5" x14ac:dyDescent="0.25">
      <c r="A55" s="952" t="s">
        <v>534</v>
      </c>
      <c r="B55" s="66" t="s">
        <v>687</v>
      </c>
      <c r="C55" s="66" t="s">
        <v>688</v>
      </c>
      <c r="D55" s="66" t="s">
        <v>689</v>
      </c>
      <c r="E55" s="66" t="s">
        <v>690</v>
      </c>
      <c r="F55" s="66" t="s">
        <v>671</v>
      </c>
      <c r="G55" s="66" t="s">
        <v>554</v>
      </c>
      <c r="H55" s="66" t="s">
        <v>691</v>
      </c>
      <c r="I55" s="66">
        <v>233874</v>
      </c>
      <c r="J55" s="82">
        <v>131212</v>
      </c>
      <c r="K55" s="66" t="s">
        <v>667</v>
      </c>
    </row>
    <row r="56" spans="1:11" ht="45" x14ac:dyDescent="0.25">
      <c r="A56" s="952" t="s">
        <v>538</v>
      </c>
      <c r="B56" s="66" t="s">
        <v>794</v>
      </c>
      <c r="C56" s="66" t="s">
        <v>795</v>
      </c>
      <c r="D56" s="66" t="s">
        <v>684</v>
      </c>
      <c r="E56" s="66" t="s">
        <v>796</v>
      </c>
      <c r="F56" s="66" t="s">
        <v>665</v>
      </c>
      <c r="G56" s="66" t="s">
        <v>316</v>
      </c>
      <c r="H56" s="66" t="s">
        <v>677</v>
      </c>
      <c r="I56" s="66">
        <v>209874</v>
      </c>
      <c r="J56" s="82">
        <v>105552</v>
      </c>
      <c r="K56" s="66" t="s">
        <v>678</v>
      </c>
    </row>
    <row r="57" spans="1:11" ht="45" x14ac:dyDescent="0.25">
      <c r="A57" s="952" t="s">
        <v>542</v>
      </c>
      <c r="B57" s="66" t="s">
        <v>797</v>
      </c>
      <c r="C57" s="66" t="s">
        <v>798</v>
      </c>
      <c r="D57" s="66" t="s">
        <v>719</v>
      </c>
      <c r="E57" s="66" t="s">
        <v>685</v>
      </c>
      <c r="F57" s="66" t="s">
        <v>665</v>
      </c>
      <c r="G57" s="66" t="s">
        <v>290</v>
      </c>
      <c r="H57" s="66" t="s">
        <v>677</v>
      </c>
      <c r="I57" s="82">
        <v>208635</v>
      </c>
      <c r="J57" s="82">
        <v>110204</v>
      </c>
      <c r="K57" s="66" t="s">
        <v>667</v>
      </c>
    </row>
    <row r="58" spans="1:11" ht="30" x14ac:dyDescent="0.25">
      <c r="A58" s="952" t="s">
        <v>547</v>
      </c>
      <c r="B58" s="66" t="s">
        <v>679</v>
      </c>
      <c r="C58" s="66" t="s">
        <v>799</v>
      </c>
      <c r="D58" s="66" t="s">
        <v>681</v>
      </c>
      <c r="E58" s="66" t="s">
        <v>682</v>
      </c>
      <c r="F58" s="66" t="s">
        <v>671</v>
      </c>
      <c r="G58" s="66" t="s">
        <v>290</v>
      </c>
      <c r="H58" s="66" t="s">
        <v>677</v>
      </c>
      <c r="I58" s="66">
        <v>242474</v>
      </c>
      <c r="J58" s="82">
        <v>114532</v>
      </c>
      <c r="K58" s="66" t="s">
        <v>678</v>
      </c>
    </row>
    <row r="59" spans="1:11" ht="30" x14ac:dyDescent="0.25">
      <c r="A59" s="952" t="s">
        <v>552</v>
      </c>
      <c r="B59" s="66" t="s">
        <v>800</v>
      </c>
      <c r="C59" s="66" t="s">
        <v>801</v>
      </c>
      <c r="D59" s="66" t="s">
        <v>802</v>
      </c>
      <c r="E59" s="66" t="s">
        <v>710</v>
      </c>
      <c r="F59" s="66" t="s">
        <v>665</v>
      </c>
      <c r="G59" s="66" t="s">
        <v>290</v>
      </c>
      <c r="H59" s="66" t="s">
        <v>677</v>
      </c>
      <c r="I59" s="66">
        <v>728244</v>
      </c>
      <c r="J59" s="82">
        <v>57836</v>
      </c>
      <c r="K59" s="66" t="s">
        <v>667</v>
      </c>
    </row>
    <row r="60" spans="1:11" ht="30" x14ac:dyDescent="0.25">
      <c r="A60" s="952" t="s">
        <v>557</v>
      </c>
      <c r="B60" s="66" t="s">
        <v>800</v>
      </c>
      <c r="C60" s="66" t="s">
        <v>801</v>
      </c>
      <c r="D60" s="66" t="s">
        <v>802</v>
      </c>
      <c r="E60" s="66" t="s">
        <v>710</v>
      </c>
      <c r="F60" s="66" t="s">
        <v>665</v>
      </c>
      <c r="G60" s="66" t="s">
        <v>290</v>
      </c>
      <c r="H60" s="66" t="s">
        <v>677</v>
      </c>
      <c r="I60" s="66">
        <v>719871</v>
      </c>
      <c r="J60" s="82">
        <v>57988</v>
      </c>
      <c r="K60" s="66" t="s">
        <v>667</v>
      </c>
    </row>
    <row r="61" spans="1:11" ht="30" x14ac:dyDescent="0.25">
      <c r="A61" s="952" t="s">
        <v>561</v>
      </c>
      <c r="B61" s="66" t="s">
        <v>768</v>
      </c>
      <c r="C61" s="66" t="s">
        <v>693</v>
      </c>
      <c r="D61" s="66" t="s">
        <v>684</v>
      </c>
      <c r="E61" s="66" t="s">
        <v>685</v>
      </c>
      <c r="F61" s="66" t="s">
        <v>665</v>
      </c>
      <c r="G61" s="66" t="s">
        <v>310</v>
      </c>
      <c r="H61" s="66" t="s">
        <v>695</v>
      </c>
      <c r="I61" s="66">
        <v>233233</v>
      </c>
      <c r="J61" s="82">
        <v>126490</v>
      </c>
      <c r="K61" s="66" t="s">
        <v>667</v>
      </c>
    </row>
    <row r="62" spans="1:11" ht="30" x14ac:dyDescent="0.25">
      <c r="A62" s="952" t="s">
        <v>564</v>
      </c>
      <c r="B62" s="66" t="s">
        <v>803</v>
      </c>
      <c r="C62" s="66" t="s">
        <v>693</v>
      </c>
      <c r="D62" s="66" t="s">
        <v>793</v>
      </c>
      <c r="E62" s="66" t="s">
        <v>710</v>
      </c>
      <c r="F62" s="66" t="s">
        <v>665</v>
      </c>
      <c r="G62" s="66" t="s">
        <v>310</v>
      </c>
      <c r="H62" s="66" t="s">
        <v>695</v>
      </c>
      <c r="I62" s="66">
        <v>524527</v>
      </c>
      <c r="J62" s="82">
        <v>80909</v>
      </c>
      <c r="K62" s="66" t="s">
        <v>667</v>
      </c>
    </row>
    <row r="63" spans="1:11" ht="30" x14ac:dyDescent="0.25">
      <c r="A63" s="952" t="s">
        <v>567</v>
      </c>
      <c r="B63" s="66" t="s">
        <v>768</v>
      </c>
      <c r="C63" s="66" t="s">
        <v>693</v>
      </c>
      <c r="D63" s="66" t="s">
        <v>793</v>
      </c>
      <c r="E63" s="66" t="s">
        <v>682</v>
      </c>
      <c r="F63" s="66" t="s">
        <v>665</v>
      </c>
      <c r="G63" s="66" t="s">
        <v>310</v>
      </c>
      <c r="H63" s="66" t="s">
        <v>695</v>
      </c>
      <c r="I63" s="66">
        <v>233149</v>
      </c>
      <c r="J63" s="82">
        <v>79997</v>
      </c>
      <c r="K63" s="66" t="s">
        <v>667</v>
      </c>
    </row>
    <row r="64" spans="1:11" ht="34.5" x14ac:dyDescent="0.25">
      <c r="A64" s="952" t="s">
        <v>570</v>
      </c>
      <c r="B64" s="66" t="s">
        <v>687</v>
      </c>
      <c r="C64" s="66" t="s">
        <v>688</v>
      </c>
      <c r="D64" s="66" t="s">
        <v>689</v>
      </c>
      <c r="E64" s="66" t="s">
        <v>690</v>
      </c>
      <c r="F64" s="66" t="s">
        <v>671</v>
      </c>
      <c r="G64" s="66" t="s">
        <v>554</v>
      </c>
      <c r="H64" s="66" t="s">
        <v>691</v>
      </c>
      <c r="I64" s="66">
        <v>233828</v>
      </c>
      <c r="J64" s="82">
        <v>121848</v>
      </c>
      <c r="K64" s="66" t="s">
        <v>667</v>
      </c>
    </row>
    <row r="65" spans="1:11" ht="45" x14ac:dyDescent="0.25">
      <c r="A65" s="952" t="s">
        <v>576</v>
      </c>
      <c r="B65" s="66" t="s">
        <v>804</v>
      </c>
      <c r="C65" s="66" t="s">
        <v>805</v>
      </c>
      <c r="D65" s="66" t="s">
        <v>785</v>
      </c>
      <c r="E65" s="66" t="s">
        <v>682</v>
      </c>
      <c r="F65" s="66" t="s">
        <v>806</v>
      </c>
      <c r="G65" s="66" t="s">
        <v>290</v>
      </c>
      <c r="H65" s="66" t="s">
        <v>695</v>
      </c>
      <c r="I65" s="66">
        <v>240806</v>
      </c>
      <c r="J65" s="82">
        <v>90819</v>
      </c>
      <c r="K65" s="66" t="s">
        <v>678</v>
      </c>
    </row>
    <row r="66" spans="1:11" ht="30" x14ac:dyDescent="0.25">
      <c r="A66" s="952" t="s">
        <v>581</v>
      </c>
      <c r="B66" s="66" t="s">
        <v>730</v>
      </c>
      <c r="C66" s="66" t="s">
        <v>731</v>
      </c>
      <c r="D66" s="66" t="s">
        <v>684</v>
      </c>
      <c r="E66" s="66" t="s">
        <v>685</v>
      </c>
      <c r="F66" s="66" t="s">
        <v>686</v>
      </c>
      <c r="G66" s="66" t="s">
        <v>704</v>
      </c>
      <c r="H66" s="66" t="s">
        <v>695</v>
      </c>
      <c r="I66" s="66">
        <v>236875</v>
      </c>
      <c r="J66" s="82">
        <v>69642</v>
      </c>
      <c r="K66" s="66" t="s">
        <v>667</v>
      </c>
    </row>
    <row r="67" spans="1:11" ht="30" x14ac:dyDescent="0.25">
      <c r="A67" s="952" t="s">
        <v>584</v>
      </c>
      <c r="B67" s="66" t="s">
        <v>679</v>
      </c>
      <c r="C67" s="66" t="s">
        <v>807</v>
      </c>
      <c r="D67" s="66" t="s">
        <v>684</v>
      </c>
      <c r="E67" s="66" t="s">
        <v>710</v>
      </c>
      <c r="F67" s="66" t="s">
        <v>806</v>
      </c>
      <c r="G67" s="66" t="s">
        <v>440</v>
      </c>
      <c r="H67" s="66" t="s">
        <v>677</v>
      </c>
      <c r="I67" s="66">
        <v>237766</v>
      </c>
      <c r="J67" s="82">
        <v>108330</v>
      </c>
      <c r="K67" s="66" t="s">
        <v>678</v>
      </c>
    </row>
    <row r="68" spans="1:11" ht="45" x14ac:dyDescent="0.25">
      <c r="A68" s="952" t="s">
        <v>588</v>
      </c>
      <c r="B68" s="66" t="s">
        <v>764</v>
      </c>
      <c r="C68" s="66" t="s">
        <v>765</v>
      </c>
      <c r="D68" s="66" t="s">
        <v>684</v>
      </c>
      <c r="E68" s="66" t="s">
        <v>766</v>
      </c>
      <c r="F68" s="66" t="s">
        <v>665</v>
      </c>
      <c r="G68" s="66" t="s">
        <v>316</v>
      </c>
      <c r="H68" s="66" t="s">
        <v>695</v>
      </c>
      <c r="I68" s="82">
        <v>227842</v>
      </c>
      <c r="J68" s="82">
        <v>98470</v>
      </c>
      <c r="K68" s="66" t="s">
        <v>767</v>
      </c>
    </row>
    <row r="69" spans="1:11" ht="30" x14ac:dyDescent="0.25">
      <c r="A69" s="952" t="s">
        <v>592</v>
      </c>
      <c r="B69" s="66" t="s">
        <v>673</v>
      </c>
      <c r="C69" s="66" t="s">
        <v>683</v>
      </c>
      <c r="D69" s="976" t="s">
        <v>697</v>
      </c>
      <c r="E69" s="66" t="s">
        <v>685</v>
      </c>
      <c r="F69" s="66" t="s">
        <v>671</v>
      </c>
      <c r="G69" s="66" t="s">
        <v>290</v>
      </c>
      <c r="H69" s="66" t="s">
        <v>743</v>
      </c>
      <c r="I69" s="66">
        <v>247021</v>
      </c>
      <c r="J69" s="66">
        <v>156503</v>
      </c>
      <c r="K69" s="66" t="s">
        <v>678</v>
      </c>
    </row>
    <row r="70" spans="1:11" ht="30" x14ac:dyDescent="0.25">
      <c r="A70" s="952" t="s">
        <v>596</v>
      </c>
      <c r="B70" s="66" t="s">
        <v>673</v>
      </c>
      <c r="C70" s="66" t="s">
        <v>683</v>
      </c>
      <c r="D70" s="976" t="s">
        <v>697</v>
      </c>
      <c r="E70" s="66" t="s">
        <v>685</v>
      </c>
      <c r="F70" s="66" t="s">
        <v>671</v>
      </c>
      <c r="G70" s="66" t="s">
        <v>290</v>
      </c>
      <c r="H70" s="66" t="s">
        <v>743</v>
      </c>
      <c r="I70" s="66">
        <v>247021</v>
      </c>
      <c r="J70" s="66">
        <v>156503</v>
      </c>
      <c r="K70" s="66" t="s">
        <v>678</v>
      </c>
    </row>
    <row r="71" spans="1:11" ht="30" x14ac:dyDescent="0.25">
      <c r="A71" s="952" t="s">
        <v>598</v>
      </c>
      <c r="B71" s="66" t="s">
        <v>808</v>
      </c>
      <c r="C71" s="66" t="s">
        <v>809</v>
      </c>
      <c r="D71" s="66" t="s">
        <v>810</v>
      </c>
      <c r="E71" s="66" t="s">
        <v>710</v>
      </c>
      <c r="F71" s="66" t="s">
        <v>665</v>
      </c>
      <c r="G71" s="66" t="s">
        <v>290</v>
      </c>
      <c r="H71" s="66" t="s">
        <v>677</v>
      </c>
      <c r="I71" s="66">
        <v>555033</v>
      </c>
      <c r="J71" s="82">
        <v>56159</v>
      </c>
      <c r="K71" s="66" t="s">
        <v>667</v>
      </c>
    </row>
    <row r="72" spans="1:11" ht="30" x14ac:dyDescent="0.25">
      <c r="A72" s="952" t="s">
        <v>606</v>
      </c>
      <c r="B72" s="66" t="s">
        <v>768</v>
      </c>
      <c r="C72" s="66" t="s">
        <v>693</v>
      </c>
      <c r="D72" s="66" t="s">
        <v>684</v>
      </c>
      <c r="E72" s="66" t="s">
        <v>685</v>
      </c>
      <c r="F72" s="66" t="s">
        <v>665</v>
      </c>
      <c r="G72" s="66" t="s">
        <v>310</v>
      </c>
      <c r="H72" s="66" t="s">
        <v>695</v>
      </c>
      <c r="I72" s="66">
        <v>231460</v>
      </c>
      <c r="J72" s="82">
        <v>59808</v>
      </c>
      <c r="K72" s="66" t="s">
        <v>667</v>
      </c>
    </row>
    <row r="73" spans="1:11" ht="45" x14ac:dyDescent="0.25">
      <c r="A73" s="952" t="s">
        <v>607</v>
      </c>
      <c r="B73" s="66" t="s">
        <v>811</v>
      </c>
      <c r="C73" s="66" t="s">
        <v>812</v>
      </c>
      <c r="D73" s="66" t="s">
        <v>722</v>
      </c>
      <c r="E73" s="66" t="s">
        <v>710</v>
      </c>
      <c r="F73" s="66" t="s">
        <v>665</v>
      </c>
      <c r="G73" s="66" t="s">
        <v>290</v>
      </c>
      <c r="H73" s="66" t="s">
        <v>813</v>
      </c>
      <c r="I73" s="66">
        <v>919271</v>
      </c>
      <c r="J73" s="82">
        <v>79734</v>
      </c>
      <c r="K73" s="66" t="s">
        <v>667</v>
      </c>
    </row>
    <row r="74" spans="1:11" ht="30" x14ac:dyDescent="0.25">
      <c r="A74" s="952" t="s">
        <v>612</v>
      </c>
      <c r="B74" s="66" t="s">
        <v>814</v>
      </c>
      <c r="C74" s="66" t="s">
        <v>815</v>
      </c>
      <c r="D74" s="66" t="s">
        <v>816</v>
      </c>
      <c r="E74" s="66" t="s">
        <v>685</v>
      </c>
      <c r="F74" s="66" t="s">
        <v>817</v>
      </c>
      <c r="G74" s="66" t="s">
        <v>440</v>
      </c>
      <c r="H74" s="66" t="s">
        <v>677</v>
      </c>
      <c r="I74" s="82">
        <v>237654</v>
      </c>
      <c r="J74" s="82">
        <v>47497</v>
      </c>
      <c r="K74" s="66" t="s">
        <v>667</v>
      </c>
    </row>
    <row r="75" spans="1:11" ht="30" x14ac:dyDescent="0.25">
      <c r="A75" s="952" t="s">
        <v>617</v>
      </c>
      <c r="B75" s="66" t="s">
        <v>768</v>
      </c>
      <c r="C75" s="66" t="s">
        <v>693</v>
      </c>
      <c r="D75" s="66" t="s">
        <v>684</v>
      </c>
      <c r="E75" s="66" t="s">
        <v>685</v>
      </c>
      <c r="F75" s="66" t="s">
        <v>665</v>
      </c>
      <c r="G75" s="66" t="s">
        <v>310</v>
      </c>
      <c r="H75" s="66" t="s">
        <v>695</v>
      </c>
      <c r="I75" s="66">
        <v>233233</v>
      </c>
      <c r="J75" s="82">
        <v>87603</v>
      </c>
      <c r="K75" s="66" t="s">
        <v>667</v>
      </c>
    </row>
    <row r="76" spans="1:11" ht="195" x14ac:dyDescent="0.2">
      <c r="A76" s="845" t="s">
        <v>620</v>
      </c>
      <c r="B76" s="846" t="s">
        <v>818</v>
      </c>
      <c r="C76" s="847" t="s">
        <v>819</v>
      </c>
      <c r="D76" s="846" t="s">
        <v>820</v>
      </c>
      <c r="E76" s="846" t="s">
        <v>35</v>
      </c>
      <c r="F76" s="848" t="s">
        <v>35</v>
      </c>
      <c r="G76" s="846" t="s">
        <v>35</v>
      </c>
      <c r="H76" s="846" t="s">
        <v>35</v>
      </c>
      <c r="I76" s="849" t="s">
        <v>35</v>
      </c>
      <c r="J76" s="850" t="s">
        <v>717</v>
      </c>
      <c r="K76" s="846" t="s">
        <v>821</v>
      </c>
    </row>
    <row r="77" spans="1:11" ht="30" x14ac:dyDescent="0.25">
      <c r="A77" s="952" t="s">
        <v>624</v>
      </c>
      <c r="B77" s="66" t="s">
        <v>768</v>
      </c>
      <c r="C77" s="66" t="s">
        <v>693</v>
      </c>
      <c r="D77" s="66" t="s">
        <v>684</v>
      </c>
      <c r="E77" s="66" t="s">
        <v>682</v>
      </c>
      <c r="F77" s="66" t="s">
        <v>665</v>
      </c>
      <c r="G77" s="66" t="s">
        <v>310</v>
      </c>
      <c r="H77" s="66" t="s">
        <v>695</v>
      </c>
      <c r="I77" s="66">
        <v>233149</v>
      </c>
      <c r="J77" s="973">
        <v>81810</v>
      </c>
      <c r="K77" s="66" t="s">
        <v>667</v>
      </c>
    </row>
    <row r="78" spans="1:11" ht="45" x14ac:dyDescent="0.25">
      <c r="A78" s="952" t="s">
        <v>627</v>
      </c>
      <c r="B78" s="66" t="s">
        <v>764</v>
      </c>
      <c r="C78" s="66" t="s">
        <v>765</v>
      </c>
      <c r="D78" s="66" t="s">
        <v>684</v>
      </c>
      <c r="E78" s="66" t="s">
        <v>766</v>
      </c>
      <c r="F78" s="66" t="s">
        <v>665</v>
      </c>
      <c r="G78" s="66" t="s">
        <v>316</v>
      </c>
      <c r="H78" s="66" t="s">
        <v>695</v>
      </c>
      <c r="I78" s="82">
        <v>227842</v>
      </c>
      <c r="J78" s="66" t="s">
        <v>822</v>
      </c>
      <c r="K78" s="66" t="s">
        <v>767</v>
      </c>
    </row>
    <row r="79" spans="1:11" ht="75" x14ac:dyDescent="0.25">
      <c r="A79" s="952" t="s">
        <v>631</v>
      </c>
      <c r="B79" s="66" t="s">
        <v>823</v>
      </c>
      <c r="C79" s="66" t="s">
        <v>824</v>
      </c>
      <c r="D79" s="976" t="s">
        <v>697</v>
      </c>
      <c r="E79" s="66" t="s">
        <v>825</v>
      </c>
      <c r="F79" s="66" t="s">
        <v>665</v>
      </c>
      <c r="G79" s="66" t="s">
        <v>290</v>
      </c>
      <c r="H79" s="66" t="s">
        <v>677</v>
      </c>
      <c r="I79" s="66">
        <v>235667</v>
      </c>
      <c r="J79" s="82">
        <v>176817</v>
      </c>
      <c r="K79" s="66" t="s">
        <v>667</v>
      </c>
    </row>
    <row r="80" spans="1:11" ht="17.25" x14ac:dyDescent="0.25">
      <c r="A80" s="952" t="s">
        <v>635</v>
      </c>
      <c r="B80" s="66" t="s">
        <v>673</v>
      </c>
      <c r="C80" s="66" t="s">
        <v>826</v>
      </c>
      <c r="D80" s="66" t="s">
        <v>793</v>
      </c>
      <c r="E80" s="66" t="s">
        <v>682</v>
      </c>
      <c r="F80" s="66" t="s">
        <v>665</v>
      </c>
      <c r="G80" s="66" t="s">
        <v>440</v>
      </c>
      <c r="H80" s="66" t="s">
        <v>677</v>
      </c>
      <c r="I80" s="66">
        <v>246470</v>
      </c>
      <c r="J80" s="82">
        <v>158669</v>
      </c>
      <c r="K80" s="66" t="s">
        <v>678</v>
      </c>
    </row>
    <row r="81" spans="1:11" ht="30" x14ac:dyDescent="0.25">
      <c r="A81" s="952" t="s">
        <v>5319</v>
      </c>
      <c r="B81" s="66" t="s">
        <v>768</v>
      </c>
      <c r="C81" s="66" t="s">
        <v>693</v>
      </c>
      <c r="D81" s="66" t="s">
        <v>684</v>
      </c>
      <c r="E81" s="66" t="s">
        <v>685</v>
      </c>
      <c r="F81" s="66" t="s">
        <v>665</v>
      </c>
      <c r="G81" s="66" t="s">
        <v>310</v>
      </c>
      <c r="H81" s="66" t="s">
        <v>695</v>
      </c>
      <c r="I81" s="66">
        <v>233233</v>
      </c>
      <c r="J81" s="82">
        <v>103735</v>
      </c>
      <c r="K81" s="66" t="s">
        <v>667</v>
      </c>
    </row>
    <row r="82" spans="1:11" ht="17.25" x14ac:dyDescent="0.25">
      <c r="A82" s="970" t="s">
        <v>644</v>
      </c>
      <c r="B82" s="83" t="s">
        <v>827</v>
      </c>
      <c r="C82" s="83" t="s">
        <v>828</v>
      </c>
      <c r="D82" s="83" t="s">
        <v>684</v>
      </c>
      <c r="E82" s="83" t="s">
        <v>685</v>
      </c>
      <c r="F82" s="83" t="s">
        <v>665</v>
      </c>
      <c r="G82" s="83" t="s">
        <v>290</v>
      </c>
      <c r="H82" s="83" t="s">
        <v>677</v>
      </c>
      <c r="I82" s="83">
        <v>238194</v>
      </c>
      <c r="J82" s="978">
        <v>75794</v>
      </c>
      <c r="K82" s="83" t="s">
        <v>678</v>
      </c>
    </row>
    <row r="83" spans="1:11" ht="15" x14ac:dyDescent="0.2">
      <c r="A83" s="164" t="s">
        <v>5320</v>
      </c>
      <c r="B83" s="84"/>
      <c r="C83" s="84"/>
      <c r="D83" s="84"/>
      <c r="E83" s="84"/>
      <c r="F83" s="84"/>
      <c r="G83" s="84"/>
      <c r="H83" s="84"/>
      <c r="I83" s="84"/>
      <c r="J83" s="84"/>
      <c r="K83" s="84"/>
    </row>
  </sheetData>
  <mergeCells count="12">
    <mergeCell ref="J4:J5"/>
    <mergeCell ref="K4:K5"/>
    <mergeCell ref="A1:K1"/>
    <mergeCell ref="A3:A5"/>
    <mergeCell ref="B3:B5"/>
    <mergeCell ref="C3:C5"/>
    <mergeCell ref="D3:E3"/>
    <mergeCell ref="J3:K3"/>
    <mergeCell ref="D4:D5"/>
    <mergeCell ref="E4:E5"/>
    <mergeCell ref="F4:H4"/>
    <mergeCell ref="I3:I5"/>
  </mergeCells>
  <phoneticPr fontId="101" type="noConversion"/>
  <pageMargins left="0.5" right="0.5" top="0.5" bottom="0.5" header="0.05" footer="0.05"/>
  <pageSetup scale="58" fitToHeight="0" orientation="landscape"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51"/>
  <sheetViews>
    <sheetView workbookViewId="0">
      <pane xSplit="2" ySplit="4" topLeftCell="C637" activePane="bottomRight" state="frozen"/>
      <selection pane="topRight" activeCell="G76" sqref="G76"/>
      <selection pane="bottomLeft" activeCell="G76" sqref="G76"/>
      <selection pane="bottomRight" activeCell="B633" sqref="B633"/>
    </sheetView>
  </sheetViews>
  <sheetFormatPr defaultColWidth="8.7109375" defaultRowHeight="12.75" x14ac:dyDescent="0.2"/>
  <cols>
    <col min="1" max="1" width="22.7109375" style="102" customWidth="1"/>
    <col min="2" max="2" width="13.28515625" style="102" customWidth="1"/>
    <col min="3" max="8" width="8.7109375" style="102"/>
    <col min="9" max="9" width="2" style="102" customWidth="1"/>
    <col min="10" max="16384" width="8.7109375" style="102"/>
  </cols>
  <sheetData>
    <row r="1" spans="1:17" s="86" customFormat="1" ht="15" x14ac:dyDescent="0.25">
      <c r="A1" s="85" t="s">
        <v>5566</v>
      </c>
      <c r="B1" s="979"/>
      <c r="C1" s="979"/>
      <c r="D1" s="979"/>
      <c r="E1" s="979"/>
      <c r="F1" s="979"/>
      <c r="G1" s="979"/>
      <c r="H1" s="979"/>
      <c r="I1" s="979"/>
      <c r="J1" s="979"/>
      <c r="K1" s="979"/>
      <c r="L1" s="979"/>
      <c r="M1" s="979"/>
      <c r="N1" s="979"/>
      <c r="O1" s="979"/>
    </row>
    <row r="2" spans="1:17" s="86" customFormat="1" ht="15" x14ac:dyDescent="0.25">
      <c r="A2" s="85"/>
      <c r="B2" s="979"/>
      <c r="C2" s="979"/>
      <c r="D2" s="979"/>
      <c r="E2" s="979"/>
      <c r="F2" s="979"/>
      <c r="G2" s="979"/>
      <c r="H2" s="979"/>
      <c r="I2" s="979"/>
      <c r="J2" s="979"/>
      <c r="K2" s="979"/>
      <c r="L2" s="979"/>
      <c r="M2" s="979"/>
      <c r="N2" s="979"/>
      <c r="O2" s="979"/>
    </row>
    <row r="3" spans="1:17" s="86" customFormat="1" ht="15" x14ac:dyDescent="0.2">
      <c r="A3" s="851"/>
      <c r="B3" s="851"/>
      <c r="C3" s="1275" t="s">
        <v>239</v>
      </c>
      <c r="D3" s="1276"/>
      <c r="E3" s="1276"/>
      <c r="F3" s="1276"/>
      <c r="G3" s="1276"/>
      <c r="H3" s="1276"/>
      <c r="I3" s="852"/>
      <c r="J3" s="1275" t="s">
        <v>240</v>
      </c>
      <c r="K3" s="1276"/>
      <c r="L3" s="1276"/>
      <c r="M3" s="1276"/>
      <c r="N3" s="1276"/>
      <c r="O3" s="1276"/>
    </row>
    <row r="4" spans="1:17" s="86" customFormat="1" ht="18" thickBot="1" x14ac:dyDescent="0.25">
      <c r="A4" s="853" t="s">
        <v>829</v>
      </c>
      <c r="B4" s="854" t="s">
        <v>830</v>
      </c>
      <c r="C4" s="854" t="s">
        <v>831</v>
      </c>
      <c r="D4" s="980" t="s">
        <v>832</v>
      </c>
      <c r="E4" s="980" t="s">
        <v>833</v>
      </c>
      <c r="F4" s="980" t="s">
        <v>834</v>
      </c>
      <c r="G4" s="980" t="s">
        <v>835</v>
      </c>
      <c r="H4" s="980" t="s">
        <v>836</v>
      </c>
      <c r="I4" s="981"/>
      <c r="J4" s="854" t="s">
        <v>831</v>
      </c>
      <c r="K4" s="980" t="s">
        <v>832</v>
      </c>
      <c r="L4" s="980" t="s">
        <v>833</v>
      </c>
      <c r="M4" s="980" t="s">
        <v>834</v>
      </c>
      <c r="N4" s="980" t="s">
        <v>835</v>
      </c>
      <c r="O4" s="980" t="s">
        <v>836</v>
      </c>
    </row>
    <row r="5" spans="1:17" s="86" customFormat="1" ht="15.75" thickTop="1" x14ac:dyDescent="0.25">
      <c r="A5" s="1277" t="s">
        <v>286</v>
      </c>
      <c r="B5" s="855" t="s">
        <v>837</v>
      </c>
      <c r="C5" s="856">
        <v>9340</v>
      </c>
      <c r="D5" s="857">
        <v>41.3</v>
      </c>
      <c r="E5" s="857">
        <v>8.8000000000000007</v>
      </c>
      <c r="F5" s="857">
        <v>42</v>
      </c>
      <c r="G5" s="857">
        <v>18</v>
      </c>
      <c r="H5" s="857">
        <v>74</v>
      </c>
      <c r="I5" s="857"/>
      <c r="J5" s="858">
        <v>5552</v>
      </c>
      <c r="K5" s="857">
        <v>38.799999999999997</v>
      </c>
      <c r="L5" s="857">
        <v>9.1999999999999993</v>
      </c>
      <c r="M5" s="857">
        <v>39</v>
      </c>
      <c r="N5" s="857">
        <v>19</v>
      </c>
      <c r="O5" s="710">
        <v>67</v>
      </c>
    </row>
    <row r="6" spans="1:17" s="86" customFormat="1" ht="15" x14ac:dyDescent="0.25">
      <c r="A6" s="1278"/>
      <c r="B6" s="87" t="s">
        <v>838</v>
      </c>
      <c r="C6" s="88">
        <v>9340</v>
      </c>
      <c r="D6" s="711">
        <v>28</v>
      </c>
      <c r="E6" s="711">
        <v>3.7</v>
      </c>
      <c r="F6" s="711">
        <v>27.6</v>
      </c>
      <c r="G6" s="711">
        <v>16.7</v>
      </c>
      <c r="H6" s="711">
        <v>55.7</v>
      </c>
      <c r="I6" s="711"/>
      <c r="J6" s="717">
        <v>5552</v>
      </c>
      <c r="K6" s="711">
        <v>26</v>
      </c>
      <c r="L6" s="711">
        <v>4.8</v>
      </c>
      <c r="M6" s="711">
        <v>25.1</v>
      </c>
      <c r="N6" s="711">
        <v>14.4</v>
      </c>
      <c r="O6" s="712">
        <v>64.400000000000006</v>
      </c>
      <c r="Q6" s="86" t="s">
        <v>1</v>
      </c>
    </row>
    <row r="7" spans="1:17" s="86" customFormat="1" ht="15" x14ac:dyDescent="0.25">
      <c r="A7" s="1278"/>
      <c r="B7" s="87" t="s">
        <v>839</v>
      </c>
      <c r="C7" s="88">
        <v>9340</v>
      </c>
      <c r="D7" s="711">
        <v>90.5</v>
      </c>
      <c r="E7" s="711">
        <v>13.2</v>
      </c>
      <c r="F7" s="711">
        <v>89.1</v>
      </c>
      <c r="G7" s="711">
        <v>38.4</v>
      </c>
      <c r="H7" s="711">
        <v>194.8</v>
      </c>
      <c r="I7" s="711"/>
      <c r="J7" s="717">
        <v>5552</v>
      </c>
      <c r="K7" s="711">
        <v>71.3</v>
      </c>
      <c r="L7" s="711">
        <v>13.5</v>
      </c>
      <c r="M7" s="711">
        <v>68.8</v>
      </c>
      <c r="N7" s="711">
        <v>40.4</v>
      </c>
      <c r="O7" s="712">
        <v>180.6</v>
      </c>
    </row>
    <row r="8" spans="1:17" s="86" customFormat="1" ht="15" x14ac:dyDescent="0.25">
      <c r="A8" s="1278"/>
      <c r="B8" s="87" t="s">
        <v>840</v>
      </c>
      <c r="C8" s="88">
        <v>9340</v>
      </c>
      <c r="D8" s="711">
        <v>179.8</v>
      </c>
      <c r="E8" s="711">
        <v>6.2</v>
      </c>
      <c r="F8" s="711">
        <v>179.5</v>
      </c>
      <c r="G8" s="711">
        <v>145</v>
      </c>
      <c r="H8" s="711">
        <v>203.8</v>
      </c>
      <c r="I8" s="711"/>
      <c r="J8" s="717">
        <v>5552</v>
      </c>
      <c r="K8" s="711">
        <v>165.5</v>
      </c>
      <c r="L8" s="711">
        <v>6.2</v>
      </c>
      <c r="M8" s="711">
        <v>165.5</v>
      </c>
      <c r="N8" s="711">
        <v>132</v>
      </c>
      <c r="O8" s="712">
        <v>188.3</v>
      </c>
      <c r="Q8" s="887"/>
    </row>
    <row r="9" spans="1:17" s="86" customFormat="1" ht="15" x14ac:dyDescent="0.25">
      <c r="A9" s="1279"/>
      <c r="B9" s="89" t="s">
        <v>844</v>
      </c>
      <c r="C9" s="90">
        <v>9337</v>
      </c>
      <c r="D9" s="98">
        <v>0.9</v>
      </c>
      <c r="E9" s="98">
        <v>0.1</v>
      </c>
      <c r="F9" s="98">
        <v>0.9</v>
      </c>
      <c r="G9" s="98">
        <v>0.5</v>
      </c>
      <c r="H9" s="98">
        <v>1.3</v>
      </c>
      <c r="I9" s="98"/>
      <c r="J9" s="718">
        <v>5508</v>
      </c>
      <c r="K9" s="98">
        <v>0.8</v>
      </c>
      <c r="L9" s="98">
        <v>0.1</v>
      </c>
      <c r="M9" s="98">
        <v>0.8</v>
      </c>
      <c r="N9" s="98">
        <v>0.6</v>
      </c>
      <c r="O9" s="99">
        <v>1.4</v>
      </c>
    </row>
    <row r="10" spans="1:17" s="86" customFormat="1" x14ac:dyDescent="0.2">
      <c r="A10" s="1280" t="s">
        <v>294</v>
      </c>
      <c r="B10" s="91" t="s">
        <v>837</v>
      </c>
      <c r="C10" s="859">
        <v>784</v>
      </c>
      <c r="D10" s="860">
        <v>52.5</v>
      </c>
      <c r="E10" s="860">
        <v>16.899999999999999</v>
      </c>
      <c r="F10" s="860">
        <v>53</v>
      </c>
      <c r="G10" s="860">
        <v>21</v>
      </c>
      <c r="H10" s="860">
        <v>98</v>
      </c>
      <c r="I10" s="860"/>
      <c r="J10" s="861">
        <v>829</v>
      </c>
      <c r="K10" s="860">
        <v>53.8</v>
      </c>
      <c r="L10" s="860">
        <v>16.3</v>
      </c>
      <c r="M10" s="860">
        <v>54</v>
      </c>
      <c r="N10" s="860">
        <v>20</v>
      </c>
      <c r="O10" s="713">
        <v>95</v>
      </c>
    </row>
    <row r="11" spans="1:17" s="86" customFormat="1" x14ac:dyDescent="0.2">
      <c r="A11" s="1280"/>
      <c r="B11" s="91" t="s">
        <v>838</v>
      </c>
      <c r="C11" s="92">
        <v>784</v>
      </c>
      <c r="D11" s="714">
        <v>26.7</v>
      </c>
      <c r="E11" s="714">
        <v>4.0999999999999996</v>
      </c>
      <c r="F11" s="714">
        <v>26.4</v>
      </c>
      <c r="G11" s="714">
        <v>18.3</v>
      </c>
      <c r="H11" s="714">
        <v>45</v>
      </c>
      <c r="I11" s="714"/>
      <c r="J11" s="719">
        <v>829</v>
      </c>
      <c r="K11" s="714">
        <v>28.5</v>
      </c>
      <c r="L11" s="714">
        <v>5.6</v>
      </c>
      <c r="M11" s="714">
        <v>28.2</v>
      </c>
      <c r="N11" s="714">
        <v>15.9</v>
      </c>
      <c r="O11" s="715">
        <v>47.3</v>
      </c>
    </row>
    <row r="12" spans="1:17" s="86" customFormat="1" x14ac:dyDescent="0.2">
      <c r="A12" s="1280"/>
      <c r="B12" s="91" t="s">
        <v>839</v>
      </c>
      <c r="C12" s="92">
        <v>784</v>
      </c>
      <c r="D12" s="714">
        <v>78.400000000000006</v>
      </c>
      <c r="E12" s="714">
        <v>13</v>
      </c>
      <c r="F12" s="714">
        <v>77.2</v>
      </c>
      <c r="G12" s="714">
        <v>49.4</v>
      </c>
      <c r="H12" s="714">
        <v>134.4</v>
      </c>
      <c r="I12" s="714"/>
      <c r="J12" s="719">
        <v>829</v>
      </c>
      <c r="K12" s="714">
        <v>72.5</v>
      </c>
      <c r="L12" s="714">
        <v>14.9</v>
      </c>
      <c r="M12" s="714">
        <v>70.900000000000006</v>
      </c>
      <c r="N12" s="714">
        <v>35.6</v>
      </c>
      <c r="O12" s="715">
        <v>121.8</v>
      </c>
    </row>
    <row r="13" spans="1:17" s="86" customFormat="1" x14ac:dyDescent="0.2">
      <c r="A13" s="1280"/>
      <c r="B13" s="91" t="s">
        <v>840</v>
      </c>
      <c r="C13" s="92">
        <v>784</v>
      </c>
      <c r="D13" s="714">
        <v>171.31</v>
      </c>
      <c r="E13" s="714">
        <v>6.79</v>
      </c>
      <c r="F13" s="714">
        <v>171.5</v>
      </c>
      <c r="G13" s="714">
        <v>147</v>
      </c>
      <c r="H13" s="714">
        <v>193.5</v>
      </c>
      <c r="I13" s="714"/>
      <c r="J13" s="719">
        <v>829</v>
      </c>
      <c r="K13" s="714">
        <v>159.30000000000001</v>
      </c>
      <c r="L13" s="714">
        <v>6.4</v>
      </c>
      <c r="M13" s="714">
        <v>159.80000000000001</v>
      </c>
      <c r="N13" s="714">
        <v>133.4</v>
      </c>
      <c r="O13" s="715">
        <v>175.2</v>
      </c>
    </row>
    <row r="14" spans="1:17" s="86" customFormat="1" x14ac:dyDescent="0.2">
      <c r="A14" s="1280"/>
      <c r="B14" s="91" t="s">
        <v>841</v>
      </c>
      <c r="C14" s="92">
        <v>784</v>
      </c>
      <c r="D14" s="714">
        <v>94.3</v>
      </c>
      <c r="E14" s="714">
        <v>11.3</v>
      </c>
      <c r="F14" s="714">
        <v>93.7</v>
      </c>
      <c r="G14" s="714">
        <v>72</v>
      </c>
      <c r="H14" s="714">
        <v>136.30000000000001</v>
      </c>
      <c r="I14" s="714"/>
      <c r="J14" s="719">
        <v>829</v>
      </c>
      <c r="K14" s="714">
        <v>88.1</v>
      </c>
      <c r="L14" s="714">
        <v>12.3</v>
      </c>
      <c r="M14" s="714">
        <v>87</v>
      </c>
      <c r="N14" s="714">
        <v>62</v>
      </c>
      <c r="O14" s="715">
        <v>191.6</v>
      </c>
    </row>
    <row r="15" spans="1:17" s="86" customFormat="1" x14ac:dyDescent="0.2">
      <c r="A15" s="1280"/>
      <c r="B15" s="91" t="s">
        <v>843</v>
      </c>
      <c r="C15" s="92">
        <v>784</v>
      </c>
      <c r="D15" s="714">
        <v>101.9</v>
      </c>
      <c r="E15" s="714">
        <v>8</v>
      </c>
      <c r="F15" s="714">
        <v>101.3</v>
      </c>
      <c r="G15" s="714">
        <v>83</v>
      </c>
      <c r="H15" s="714">
        <v>152</v>
      </c>
      <c r="I15" s="714"/>
      <c r="J15" s="719">
        <v>829</v>
      </c>
      <c r="K15" s="714">
        <v>106.07</v>
      </c>
      <c r="L15" s="714">
        <v>11.9</v>
      </c>
      <c r="M15" s="714">
        <v>105</v>
      </c>
      <c r="N15" s="714">
        <v>76</v>
      </c>
      <c r="O15" s="715">
        <v>152</v>
      </c>
    </row>
    <row r="16" spans="1:17" s="86" customFormat="1" x14ac:dyDescent="0.2">
      <c r="A16" s="1281"/>
      <c r="B16" s="93" t="s">
        <v>844</v>
      </c>
      <c r="C16" s="94">
        <v>784</v>
      </c>
      <c r="D16" s="96">
        <v>0.9</v>
      </c>
      <c r="E16" s="96">
        <v>0.1</v>
      </c>
      <c r="F16" s="96">
        <v>0.9</v>
      </c>
      <c r="G16" s="96">
        <v>0.8</v>
      </c>
      <c r="H16" s="96">
        <v>1.2</v>
      </c>
      <c r="I16" s="96"/>
      <c r="J16" s="720">
        <v>829</v>
      </c>
      <c r="K16" s="96">
        <v>0.8</v>
      </c>
      <c r="L16" s="96">
        <v>0.1</v>
      </c>
      <c r="M16" s="96">
        <v>0.8</v>
      </c>
      <c r="N16" s="96">
        <v>0.6</v>
      </c>
      <c r="O16" s="97">
        <v>1.6</v>
      </c>
    </row>
    <row r="17" spans="1:15" s="86" customFormat="1" ht="15" x14ac:dyDescent="0.25">
      <c r="A17" s="1282" t="s">
        <v>845</v>
      </c>
      <c r="B17" s="87" t="s">
        <v>837</v>
      </c>
      <c r="C17" s="88">
        <v>1276</v>
      </c>
      <c r="D17" s="711">
        <v>53.91771</v>
      </c>
      <c r="E17" s="711">
        <v>6.0077309999999997</v>
      </c>
      <c r="F17" s="711">
        <v>54</v>
      </c>
      <c r="G17" s="711">
        <v>44</v>
      </c>
      <c r="H17" s="711">
        <v>66</v>
      </c>
      <c r="I17" s="711"/>
      <c r="J17" s="717">
        <v>2088</v>
      </c>
      <c r="K17" s="711">
        <v>53.517240000000001</v>
      </c>
      <c r="L17" s="711">
        <v>5.7484140000000004</v>
      </c>
      <c r="M17" s="711">
        <v>53</v>
      </c>
      <c r="N17" s="711">
        <v>44</v>
      </c>
      <c r="O17" s="712">
        <v>66</v>
      </c>
    </row>
    <row r="18" spans="1:15" s="86" customFormat="1" ht="15" x14ac:dyDescent="0.25">
      <c r="A18" s="1283"/>
      <c r="B18" s="87" t="s">
        <v>838</v>
      </c>
      <c r="C18" s="88">
        <v>1269</v>
      </c>
      <c r="D18" s="711">
        <v>27.66581</v>
      </c>
      <c r="E18" s="711">
        <v>4.944032</v>
      </c>
      <c r="F18" s="711">
        <v>27.203399999999998</v>
      </c>
      <c r="G18" s="711">
        <v>15.43745</v>
      </c>
      <c r="H18" s="711">
        <v>52.363680000000002</v>
      </c>
      <c r="I18" s="711"/>
      <c r="J18" s="717">
        <v>2085</v>
      </c>
      <c r="K18" s="711">
        <v>30.969280000000001</v>
      </c>
      <c r="L18" s="711">
        <v>6.717803</v>
      </c>
      <c r="M18" s="711">
        <v>29.810860000000002</v>
      </c>
      <c r="N18" s="711">
        <v>14.20238</v>
      </c>
      <c r="O18" s="712">
        <v>65.910439999999994</v>
      </c>
    </row>
    <row r="19" spans="1:15" s="86" customFormat="1" ht="15" x14ac:dyDescent="0.25">
      <c r="A19" s="1283"/>
      <c r="B19" s="87" t="s">
        <v>839</v>
      </c>
      <c r="C19" s="88">
        <v>1269</v>
      </c>
      <c r="D19" s="711">
        <v>85.934880000000007</v>
      </c>
      <c r="E19" s="711">
        <v>16.694310000000002</v>
      </c>
      <c r="F19" s="711">
        <v>84.545460000000006</v>
      </c>
      <c r="G19" s="711">
        <v>44.090910000000001</v>
      </c>
      <c r="H19" s="711">
        <v>165.9091</v>
      </c>
      <c r="I19" s="711"/>
      <c r="J19" s="717">
        <v>2085</v>
      </c>
      <c r="K19" s="711">
        <v>82.39067</v>
      </c>
      <c r="L19" s="711">
        <v>18.28988</v>
      </c>
      <c r="M19" s="711">
        <v>79.545460000000006</v>
      </c>
      <c r="N19" s="711">
        <v>37.272730000000003</v>
      </c>
      <c r="O19" s="712">
        <v>177.27269999999999</v>
      </c>
    </row>
    <row r="20" spans="1:15" s="86" customFormat="1" ht="15" x14ac:dyDescent="0.25">
      <c r="A20" s="1283"/>
      <c r="B20" s="87" t="s">
        <v>840</v>
      </c>
      <c r="C20" s="88">
        <v>1271</v>
      </c>
      <c r="D20" s="711">
        <v>176.1164</v>
      </c>
      <c r="E20" s="711">
        <v>6.6644410000000001</v>
      </c>
      <c r="F20" s="711">
        <v>176</v>
      </c>
      <c r="G20" s="711">
        <v>153</v>
      </c>
      <c r="H20" s="711">
        <v>197</v>
      </c>
      <c r="I20" s="711"/>
      <c r="J20" s="717">
        <v>2086</v>
      </c>
      <c r="K20" s="711">
        <v>163.1242</v>
      </c>
      <c r="L20" s="711">
        <v>6.1448090000000004</v>
      </c>
      <c r="M20" s="711">
        <v>163</v>
      </c>
      <c r="N20" s="711">
        <v>125</v>
      </c>
      <c r="O20" s="712">
        <v>188</v>
      </c>
    </row>
    <row r="21" spans="1:15" s="86" customFormat="1" ht="15" x14ac:dyDescent="0.25">
      <c r="A21" s="1283"/>
      <c r="B21" s="87" t="s">
        <v>841</v>
      </c>
      <c r="C21" s="88">
        <v>1270</v>
      </c>
      <c r="D21" s="711">
        <v>97.222049999999996</v>
      </c>
      <c r="E21" s="711">
        <v>12.99152</v>
      </c>
      <c r="F21" s="711">
        <v>97</v>
      </c>
      <c r="G21" s="711">
        <v>63</v>
      </c>
      <c r="H21" s="711">
        <v>178</v>
      </c>
      <c r="I21" s="711"/>
      <c r="J21" s="717">
        <v>2086</v>
      </c>
      <c r="K21" s="711">
        <v>101.11069999999999</v>
      </c>
      <c r="L21" s="711">
        <v>16.649889999999999</v>
      </c>
      <c r="M21" s="711">
        <v>100</v>
      </c>
      <c r="N21" s="711">
        <v>57</v>
      </c>
      <c r="O21" s="712">
        <v>178</v>
      </c>
    </row>
    <row r="22" spans="1:15" s="86" customFormat="1" ht="15" x14ac:dyDescent="0.25">
      <c r="A22" s="1283"/>
      <c r="B22" s="87" t="s">
        <v>843</v>
      </c>
      <c r="C22" s="88">
        <v>1271</v>
      </c>
      <c r="D22" s="711">
        <v>102.904</v>
      </c>
      <c r="E22" s="711">
        <v>9.9608799999999995</v>
      </c>
      <c r="F22" s="711">
        <v>102</v>
      </c>
      <c r="G22" s="711">
        <v>59</v>
      </c>
      <c r="H22" s="711">
        <v>192</v>
      </c>
      <c r="I22" s="711"/>
      <c r="J22" s="717">
        <v>2086</v>
      </c>
      <c r="K22" s="711">
        <v>110.9631</v>
      </c>
      <c r="L22" s="711">
        <v>12.948230000000001</v>
      </c>
      <c r="M22" s="711">
        <v>109</v>
      </c>
      <c r="N22" s="711">
        <v>78</v>
      </c>
      <c r="O22" s="712">
        <v>179</v>
      </c>
    </row>
    <row r="23" spans="1:15" s="86" customFormat="1" ht="15" x14ac:dyDescent="0.25">
      <c r="A23" s="1284"/>
      <c r="B23" s="89" t="s">
        <v>844</v>
      </c>
      <c r="C23" s="90">
        <v>1270</v>
      </c>
      <c r="D23" s="98">
        <v>0.94245109999999999</v>
      </c>
      <c r="E23" s="98">
        <v>5.7373E-2</v>
      </c>
      <c r="F23" s="98">
        <v>0.94230769999999997</v>
      </c>
      <c r="G23" s="98">
        <v>0.74444440000000001</v>
      </c>
      <c r="H23" s="98">
        <v>1.1346149999999999</v>
      </c>
      <c r="I23" s="98"/>
      <c r="J23" s="718">
        <v>2086</v>
      </c>
      <c r="K23" s="98">
        <v>0.90891250000000001</v>
      </c>
      <c r="L23" s="98">
        <v>8.2624199999999995E-2</v>
      </c>
      <c r="M23" s="98">
        <v>0.91428569999999998</v>
      </c>
      <c r="N23" s="98">
        <v>0.59375</v>
      </c>
      <c r="O23" s="99">
        <v>1.2592589999999999</v>
      </c>
    </row>
    <row r="24" spans="1:15" s="86" customFormat="1" ht="15" x14ac:dyDescent="0.25">
      <c r="A24" s="1282" t="s">
        <v>846</v>
      </c>
      <c r="B24" s="855" t="s">
        <v>837</v>
      </c>
      <c r="C24" s="856">
        <v>5103</v>
      </c>
      <c r="D24" s="857">
        <v>54.736040000000003</v>
      </c>
      <c r="E24" s="857">
        <v>5.6981339999999996</v>
      </c>
      <c r="F24" s="857">
        <v>55</v>
      </c>
      <c r="G24" s="857">
        <v>44</v>
      </c>
      <c r="H24" s="857">
        <v>66</v>
      </c>
      <c r="I24" s="857"/>
      <c r="J24" s="858">
        <v>5775</v>
      </c>
      <c r="K24" s="857">
        <v>53.976619999999997</v>
      </c>
      <c r="L24" s="857">
        <v>5.6833030000000004</v>
      </c>
      <c r="M24" s="857">
        <v>54</v>
      </c>
      <c r="N24" s="857">
        <v>44</v>
      </c>
      <c r="O24" s="710">
        <v>66</v>
      </c>
    </row>
    <row r="25" spans="1:15" s="86" customFormat="1" ht="15" x14ac:dyDescent="0.25">
      <c r="A25" s="1283"/>
      <c r="B25" s="87" t="s">
        <v>838</v>
      </c>
      <c r="C25" s="88">
        <v>5101</v>
      </c>
      <c r="D25" s="711">
        <v>27.439209999999999</v>
      </c>
      <c r="E25" s="711">
        <v>3.9890029999999999</v>
      </c>
      <c r="F25" s="711">
        <v>26.936029999999999</v>
      </c>
      <c r="G25" s="711">
        <v>16.10493</v>
      </c>
      <c r="H25" s="711">
        <v>56.257010000000001</v>
      </c>
      <c r="I25" s="711"/>
      <c r="J25" s="717">
        <v>5769</v>
      </c>
      <c r="K25" s="711">
        <v>26.6313</v>
      </c>
      <c r="L25" s="711">
        <v>5.4809140000000003</v>
      </c>
      <c r="M25" s="711">
        <v>25.463840000000001</v>
      </c>
      <c r="N25" s="711">
        <v>14.38378</v>
      </c>
      <c r="O25" s="712">
        <v>55.198639999999997</v>
      </c>
    </row>
    <row r="26" spans="1:15" s="86" customFormat="1" ht="15" x14ac:dyDescent="0.25">
      <c r="A26" s="1283"/>
      <c r="B26" s="87" t="s">
        <v>839</v>
      </c>
      <c r="C26" s="88">
        <v>5101</v>
      </c>
      <c r="D26" s="711">
        <v>85.241219999999998</v>
      </c>
      <c r="E26" s="711">
        <v>13.726789999999999</v>
      </c>
      <c r="F26" s="711">
        <v>83.636359999999996</v>
      </c>
      <c r="G26" s="711">
        <v>44.545459999999999</v>
      </c>
      <c r="H26" s="711">
        <v>182.27269999999999</v>
      </c>
      <c r="I26" s="711"/>
      <c r="J26" s="717">
        <v>5769</v>
      </c>
      <c r="K26" s="711">
        <v>69.879059999999996</v>
      </c>
      <c r="L26" s="711">
        <v>14.842280000000001</v>
      </c>
      <c r="M26" s="711">
        <v>67.272729999999996</v>
      </c>
      <c r="N26" s="711">
        <v>36.363639999999997</v>
      </c>
      <c r="O26" s="712">
        <v>141.81819999999999</v>
      </c>
    </row>
    <row r="27" spans="1:15" s="86" customFormat="1" ht="15" x14ac:dyDescent="0.25">
      <c r="A27" s="1283"/>
      <c r="B27" s="87" t="s">
        <v>840</v>
      </c>
      <c r="C27" s="88">
        <v>5102</v>
      </c>
      <c r="D27" s="711">
        <v>176.16050000000001</v>
      </c>
      <c r="E27" s="711">
        <v>6.5322560000000003</v>
      </c>
      <c r="F27" s="711">
        <v>176</v>
      </c>
      <c r="G27" s="711">
        <v>142</v>
      </c>
      <c r="H27" s="711">
        <v>199</v>
      </c>
      <c r="I27" s="711"/>
      <c r="J27" s="717">
        <v>5771</v>
      </c>
      <c r="K27" s="711">
        <v>161.97919999999999</v>
      </c>
      <c r="L27" s="711">
        <v>5.9129959999999997</v>
      </c>
      <c r="M27" s="711">
        <v>162</v>
      </c>
      <c r="N27" s="711">
        <v>137</v>
      </c>
      <c r="O27" s="712">
        <v>187</v>
      </c>
    </row>
    <row r="28" spans="1:15" s="86" customFormat="1" ht="15" x14ac:dyDescent="0.25">
      <c r="A28" s="1283"/>
      <c r="B28" s="87" t="s">
        <v>841</v>
      </c>
      <c r="C28" s="88">
        <v>5099</v>
      </c>
      <c r="D28" s="711">
        <v>99.664640000000006</v>
      </c>
      <c r="E28" s="711">
        <v>10.407870000000001</v>
      </c>
      <c r="F28" s="711">
        <v>99</v>
      </c>
      <c r="G28" s="711">
        <v>66</v>
      </c>
      <c r="H28" s="711">
        <v>171</v>
      </c>
      <c r="I28" s="711"/>
      <c r="J28" s="717">
        <v>5767</v>
      </c>
      <c r="K28" s="711">
        <v>93.164379999999994</v>
      </c>
      <c r="L28" s="711">
        <v>14.848470000000001</v>
      </c>
      <c r="M28" s="711">
        <v>91</v>
      </c>
      <c r="N28" s="711">
        <v>52</v>
      </c>
      <c r="O28" s="712">
        <v>169</v>
      </c>
    </row>
    <row r="29" spans="1:15" s="86" customFormat="1" ht="15" x14ac:dyDescent="0.25">
      <c r="A29" s="1283"/>
      <c r="B29" s="87" t="s">
        <v>843</v>
      </c>
      <c r="C29" s="88">
        <v>5098</v>
      </c>
      <c r="D29" s="711">
        <v>102.745</v>
      </c>
      <c r="E29" s="711">
        <v>7.5760550000000002</v>
      </c>
      <c r="F29" s="711">
        <v>102</v>
      </c>
      <c r="G29" s="711">
        <v>61</v>
      </c>
      <c r="H29" s="711">
        <v>165</v>
      </c>
      <c r="I29" s="711"/>
      <c r="J29" s="717">
        <v>5768</v>
      </c>
      <c r="K29" s="711">
        <v>104.2034</v>
      </c>
      <c r="L29" s="711">
        <v>10.841340000000001</v>
      </c>
      <c r="M29" s="711">
        <v>102</v>
      </c>
      <c r="N29" s="711">
        <v>56</v>
      </c>
      <c r="O29" s="712">
        <v>173</v>
      </c>
    </row>
    <row r="30" spans="1:15" s="86" customFormat="1" ht="15" x14ac:dyDescent="0.25">
      <c r="A30" s="1284"/>
      <c r="B30" s="89" t="s">
        <v>844</v>
      </c>
      <c r="C30" s="90">
        <v>5098</v>
      </c>
      <c r="D30" s="98">
        <v>0.96881079999999997</v>
      </c>
      <c r="E30" s="98">
        <v>5.1783999999999997E-2</v>
      </c>
      <c r="F30" s="98">
        <v>0.97029699999999997</v>
      </c>
      <c r="G30" s="98">
        <v>0.62424239999999998</v>
      </c>
      <c r="H30" s="98">
        <v>1.393443</v>
      </c>
      <c r="I30" s="98"/>
      <c r="J30" s="718">
        <v>5767</v>
      </c>
      <c r="K30" s="98">
        <v>0.8915168</v>
      </c>
      <c r="L30" s="98">
        <v>8.0537600000000001E-2</v>
      </c>
      <c r="M30" s="98">
        <v>0.89285709999999996</v>
      </c>
      <c r="N30" s="98">
        <v>0.490566</v>
      </c>
      <c r="O30" s="99">
        <v>1.2875000000000001</v>
      </c>
    </row>
    <row r="31" spans="1:15" s="86" customFormat="1" ht="15" x14ac:dyDescent="0.25">
      <c r="A31" s="1282" t="s">
        <v>307</v>
      </c>
      <c r="B31" s="855" t="s">
        <v>837</v>
      </c>
      <c r="C31" s="856">
        <v>490</v>
      </c>
      <c r="D31" s="857">
        <v>69.87</v>
      </c>
      <c r="E31" s="857">
        <v>7.82</v>
      </c>
      <c r="F31" s="857">
        <v>69.03</v>
      </c>
      <c r="G31" s="857">
        <v>55.1</v>
      </c>
      <c r="H31" s="857">
        <v>85.02</v>
      </c>
      <c r="I31" s="857"/>
      <c r="J31" s="858">
        <v>522</v>
      </c>
      <c r="K31" s="857">
        <v>69.33</v>
      </c>
      <c r="L31" s="857">
        <v>7.84</v>
      </c>
      <c r="M31" s="857">
        <v>68.37</v>
      </c>
      <c r="N31" s="857">
        <v>54.84</v>
      </c>
      <c r="O31" s="710">
        <v>85.42</v>
      </c>
    </row>
    <row r="32" spans="1:15" s="86" customFormat="1" ht="15" x14ac:dyDescent="0.25">
      <c r="A32" s="1283"/>
      <c r="B32" s="87" t="s">
        <v>838</v>
      </c>
      <c r="C32" s="88">
        <v>490</v>
      </c>
      <c r="D32" s="711">
        <v>25.91</v>
      </c>
      <c r="E32" s="711">
        <v>3.05</v>
      </c>
      <c r="F32" s="711">
        <v>25.94</v>
      </c>
      <c r="G32" s="711">
        <v>17.39</v>
      </c>
      <c r="H32" s="711">
        <v>39.1</v>
      </c>
      <c r="I32" s="711"/>
      <c r="J32" s="717">
        <v>522</v>
      </c>
      <c r="K32" s="711">
        <v>27.46</v>
      </c>
      <c r="L32" s="711">
        <v>4.33</v>
      </c>
      <c r="M32" s="711">
        <v>27.08</v>
      </c>
      <c r="N32" s="711">
        <v>16.89</v>
      </c>
      <c r="O32" s="712">
        <v>45.8</v>
      </c>
    </row>
    <row r="33" spans="1:15" s="86" customFormat="1" ht="15" x14ac:dyDescent="0.25">
      <c r="A33" s="1284"/>
      <c r="B33" s="89" t="s">
        <v>844</v>
      </c>
      <c r="C33" s="90">
        <v>490</v>
      </c>
      <c r="D33" s="98">
        <v>0.98</v>
      </c>
      <c r="E33" s="98">
        <v>0.06</v>
      </c>
      <c r="F33" s="98">
        <v>0.98</v>
      </c>
      <c r="G33" s="98">
        <v>0.77</v>
      </c>
      <c r="H33" s="98">
        <v>1.22</v>
      </c>
      <c r="I33" s="98"/>
      <c r="J33" s="718">
        <v>522</v>
      </c>
      <c r="K33" s="98">
        <v>0.91</v>
      </c>
      <c r="L33" s="98">
        <v>7.0000000000000007E-2</v>
      </c>
      <c r="M33" s="98">
        <v>0.9</v>
      </c>
      <c r="N33" s="98">
        <v>0.72</v>
      </c>
      <c r="O33" s="99">
        <v>1.42</v>
      </c>
    </row>
    <row r="34" spans="1:15" s="86" customFormat="1" ht="15" x14ac:dyDescent="0.25">
      <c r="A34" s="1282" t="s">
        <v>313</v>
      </c>
      <c r="B34" s="855" t="s">
        <v>837</v>
      </c>
      <c r="C34" s="856">
        <v>3339</v>
      </c>
      <c r="D34" s="857">
        <v>44</v>
      </c>
      <c r="E34" s="857">
        <v>0</v>
      </c>
      <c r="F34" s="857">
        <v>44</v>
      </c>
      <c r="G34" s="857">
        <v>44</v>
      </c>
      <c r="H34" s="857">
        <v>44</v>
      </c>
      <c r="I34" s="857"/>
      <c r="J34" s="858">
        <v>2606</v>
      </c>
      <c r="K34" s="857">
        <v>44</v>
      </c>
      <c r="L34" s="857">
        <v>0</v>
      </c>
      <c r="M34" s="857">
        <v>44</v>
      </c>
      <c r="N34" s="857">
        <v>44</v>
      </c>
      <c r="O34" s="710">
        <v>44</v>
      </c>
    </row>
    <row r="35" spans="1:15" s="86" customFormat="1" ht="15" x14ac:dyDescent="0.25">
      <c r="A35" s="1283"/>
      <c r="B35" s="87" t="s">
        <v>838</v>
      </c>
      <c r="C35" s="88">
        <v>3183</v>
      </c>
      <c r="D35" s="711">
        <v>27.807861361247188</v>
      </c>
      <c r="E35" s="711">
        <v>4.1000283222333866</v>
      </c>
      <c r="F35" s="711">
        <v>27.26928418</v>
      </c>
      <c r="G35" s="711">
        <v>16.456006439999999</v>
      </c>
      <c r="H35" s="711">
        <v>50.666099770000002</v>
      </c>
      <c r="I35" s="711"/>
      <c r="J35" s="717">
        <v>2512</v>
      </c>
      <c r="K35" s="711">
        <v>26.915090702659231</v>
      </c>
      <c r="L35" s="711">
        <v>5.4427918624096288</v>
      </c>
      <c r="M35" s="711">
        <v>25.712078605000002</v>
      </c>
      <c r="N35" s="711">
        <v>15.431503409999999</v>
      </c>
      <c r="O35" s="712">
        <v>53.761173890000002</v>
      </c>
    </row>
    <row r="36" spans="1:15" s="86" customFormat="1" ht="15" x14ac:dyDescent="0.25">
      <c r="A36" s="1283"/>
      <c r="B36" s="87" t="s">
        <v>839</v>
      </c>
      <c r="C36" s="88">
        <v>3233</v>
      </c>
      <c r="D36" s="711">
        <v>86.321094958243222</v>
      </c>
      <c r="E36" s="711">
        <v>14.136609411634476</v>
      </c>
      <c r="F36" s="711">
        <v>85</v>
      </c>
      <c r="G36" s="711">
        <v>47</v>
      </c>
      <c r="H36" s="711">
        <v>148.80000000000001</v>
      </c>
      <c r="I36" s="711"/>
      <c r="J36" s="717">
        <v>2547</v>
      </c>
      <c r="K36" s="711">
        <v>71.331919905771727</v>
      </c>
      <c r="L36" s="711">
        <v>14.901328975243269</v>
      </c>
      <c r="M36" s="711">
        <v>68.400000000000006</v>
      </c>
      <c r="N36" s="711">
        <v>40</v>
      </c>
      <c r="O36" s="712">
        <v>131.5</v>
      </c>
    </row>
    <row r="37" spans="1:15" s="86" customFormat="1" ht="15" x14ac:dyDescent="0.25">
      <c r="A37" s="1283"/>
      <c r="B37" s="87" t="s">
        <v>840</v>
      </c>
      <c r="C37" s="88">
        <v>3257</v>
      </c>
      <c r="D37" s="711">
        <v>176.14062020264046</v>
      </c>
      <c r="E37" s="711">
        <v>6.6863661739971798</v>
      </c>
      <c r="F37" s="711">
        <v>176</v>
      </c>
      <c r="G37" s="711">
        <v>152</v>
      </c>
      <c r="H37" s="711">
        <v>202</v>
      </c>
      <c r="I37" s="711"/>
      <c r="J37" s="717">
        <v>2558</v>
      </c>
      <c r="K37" s="711">
        <v>162.75488663017984</v>
      </c>
      <c r="L37" s="711">
        <v>6.1967264598175822</v>
      </c>
      <c r="M37" s="711">
        <v>163</v>
      </c>
      <c r="N37" s="711">
        <v>140</v>
      </c>
      <c r="O37" s="712">
        <v>185</v>
      </c>
    </row>
    <row r="38" spans="1:15" s="86" customFormat="1" ht="15" x14ac:dyDescent="0.25">
      <c r="A38" s="1283"/>
      <c r="B38" s="87" t="s">
        <v>841</v>
      </c>
      <c r="C38" s="88">
        <v>3323</v>
      </c>
      <c r="D38" s="711">
        <v>98.452241950045831</v>
      </c>
      <c r="E38" s="711">
        <v>10.986179413640006</v>
      </c>
      <c r="F38" s="711">
        <v>97.4</v>
      </c>
      <c r="G38" s="711">
        <v>65.2</v>
      </c>
      <c r="H38" s="711">
        <v>154.9</v>
      </c>
      <c r="I38" s="711"/>
      <c r="J38" s="717">
        <v>2593</v>
      </c>
      <c r="K38" s="711">
        <v>85.637254145777305</v>
      </c>
      <c r="L38" s="711">
        <v>12.675846777687571</v>
      </c>
      <c r="M38" s="711">
        <v>83.5</v>
      </c>
      <c r="N38" s="711">
        <v>56.2</v>
      </c>
      <c r="O38" s="712">
        <v>136.4</v>
      </c>
    </row>
    <row r="39" spans="1:15" s="86" customFormat="1" ht="15" x14ac:dyDescent="0.25">
      <c r="A39" s="1283"/>
      <c r="B39" s="87" t="s">
        <v>843</v>
      </c>
      <c r="C39" s="88">
        <v>3323</v>
      </c>
      <c r="D39" s="711">
        <v>105.72226903400555</v>
      </c>
      <c r="E39" s="711">
        <v>7.3528853087397552</v>
      </c>
      <c r="F39" s="711">
        <v>105.1</v>
      </c>
      <c r="G39" s="711">
        <v>80.2</v>
      </c>
      <c r="H39" s="711">
        <v>152.4</v>
      </c>
      <c r="I39" s="711"/>
      <c r="J39" s="717">
        <v>2593</v>
      </c>
      <c r="K39" s="711">
        <v>105.40563054377174</v>
      </c>
      <c r="L39" s="711">
        <v>11.361275090402327</v>
      </c>
      <c r="M39" s="711">
        <v>103.3</v>
      </c>
      <c r="N39" s="711">
        <v>79.2</v>
      </c>
      <c r="O39" s="712">
        <v>170.5</v>
      </c>
    </row>
    <row r="40" spans="1:15" s="86" customFormat="1" ht="15" x14ac:dyDescent="0.25">
      <c r="A40" s="1284"/>
      <c r="B40" s="89" t="s">
        <v>844</v>
      </c>
      <c r="C40" s="90">
        <v>3322</v>
      </c>
      <c r="D40" s="98">
        <v>0.92972998149638864</v>
      </c>
      <c r="E40" s="98">
        <v>5.9299629996934451E-2</v>
      </c>
      <c r="F40" s="98">
        <v>0.92700049799999995</v>
      </c>
      <c r="G40" s="98">
        <v>0.67523124400000001</v>
      </c>
      <c r="H40" s="98">
        <v>1.212121212</v>
      </c>
      <c r="I40" s="98"/>
      <c r="J40" s="718">
        <v>2593</v>
      </c>
      <c r="K40" s="98">
        <v>0.8107743576282288</v>
      </c>
      <c r="L40" s="98">
        <v>6.2051515075906907E-2</v>
      </c>
      <c r="M40" s="98">
        <v>0.80705190999999998</v>
      </c>
      <c r="N40" s="98">
        <v>0.55073313800000001</v>
      </c>
      <c r="O40" s="99">
        <v>1.088669951</v>
      </c>
    </row>
    <row r="41" spans="1:15" s="86" customFormat="1" ht="15" x14ac:dyDescent="0.25">
      <c r="A41" s="1277" t="s">
        <v>847</v>
      </c>
      <c r="B41" s="87" t="s">
        <v>837</v>
      </c>
      <c r="C41" s="88">
        <v>2236</v>
      </c>
      <c r="D41" s="711">
        <v>51.49</v>
      </c>
      <c r="E41" s="711">
        <v>10.34</v>
      </c>
      <c r="F41" s="711">
        <v>50</v>
      </c>
      <c r="G41" s="711">
        <v>18</v>
      </c>
      <c r="H41" s="711">
        <v>90</v>
      </c>
      <c r="I41" s="711"/>
      <c r="J41" s="717">
        <v>250</v>
      </c>
      <c r="K41" s="711">
        <v>54.12</v>
      </c>
      <c r="L41" s="711">
        <v>10.119999999999999</v>
      </c>
      <c r="M41" s="711">
        <v>55</v>
      </c>
      <c r="N41" s="711">
        <v>30</v>
      </c>
      <c r="O41" s="712">
        <v>75</v>
      </c>
    </row>
    <row r="42" spans="1:15" s="86" customFormat="1" ht="15" x14ac:dyDescent="0.25">
      <c r="A42" s="1278"/>
      <c r="B42" s="87" t="s">
        <v>838</v>
      </c>
      <c r="C42" s="88">
        <v>2236</v>
      </c>
      <c r="D42" s="711">
        <v>22.44</v>
      </c>
      <c r="E42" s="711">
        <v>3.45</v>
      </c>
      <c r="F42" s="711">
        <v>22.27</v>
      </c>
      <c r="G42" s="711">
        <v>12.58</v>
      </c>
      <c r="H42" s="711">
        <v>64.14</v>
      </c>
      <c r="I42" s="711"/>
      <c r="J42" s="717">
        <v>250</v>
      </c>
      <c r="K42" s="711">
        <v>23.4</v>
      </c>
      <c r="L42" s="711">
        <v>4.04</v>
      </c>
      <c r="M42" s="711">
        <v>23.06</v>
      </c>
      <c r="N42" s="711">
        <v>13.88</v>
      </c>
      <c r="O42" s="712">
        <v>38.71</v>
      </c>
    </row>
    <row r="43" spans="1:15" s="86" customFormat="1" ht="15" x14ac:dyDescent="0.25">
      <c r="A43" s="1278"/>
      <c r="B43" s="87" t="s">
        <v>839</v>
      </c>
      <c r="C43" s="88">
        <v>2236</v>
      </c>
      <c r="D43" s="711">
        <v>60.16</v>
      </c>
      <c r="E43" s="711">
        <v>10.34</v>
      </c>
      <c r="F43" s="711">
        <v>59.99</v>
      </c>
      <c r="G43" s="711">
        <v>31.01</v>
      </c>
      <c r="H43" s="711">
        <v>164.2</v>
      </c>
      <c r="I43" s="711"/>
      <c r="J43" s="717">
        <v>250</v>
      </c>
      <c r="K43" s="711">
        <v>53.33</v>
      </c>
      <c r="L43" s="711">
        <v>10.88</v>
      </c>
      <c r="M43" s="711">
        <v>52.45</v>
      </c>
      <c r="N43" s="711">
        <v>29.99</v>
      </c>
      <c r="O43" s="712">
        <v>93</v>
      </c>
    </row>
    <row r="44" spans="1:15" s="86" customFormat="1" ht="15" x14ac:dyDescent="0.25">
      <c r="A44" s="1278"/>
      <c r="B44" s="87" t="s">
        <v>840</v>
      </c>
      <c r="C44" s="88">
        <v>2236</v>
      </c>
      <c r="D44" s="711">
        <v>163.6</v>
      </c>
      <c r="E44" s="711">
        <v>6.14</v>
      </c>
      <c r="F44" s="711">
        <v>163</v>
      </c>
      <c r="G44" s="711">
        <v>105</v>
      </c>
      <c r="H44" s="711">
        <v>185</v>
      </c>
      <c r="I44" s="711"/>
      <c r="J44" s="717">
        <v>250</v>
      </c>
      <c r="K44" s="711">
        <v>150.63</v>
      </c>
      <c r="L44" s="711">
        <v>5.99</v>
      </c>
      <c r="M44" s="711">
        <v>151</v>
      </c>
      <c r="N44" s="711">
        <v>130</v>
      </c>
      <c r="O44" s="712">
        <v>167</v>
      </c>
    </row>
    <row r="45" spans="1:15" s="86" customFormat="1" ht="15" x14ac:dyDescent="0.25">
      <c r="A45" s="1279"/>
      <c r="B45" s="89" t="s">
        <v>844</v>
      </c>
      <c r="C45" s="90">
        <v>2236</v>
      </c>
      <c r="D45" s="98">
        <v>0.98</v>
      </c>
      <c r="E45" s="98">
        <v>0.06</v>
      </c>
      <c r="F45" s="98">
        <v>0.98</v>
      </c>
      <c r="G45" s="98">
        <v>0.67</v>
      </c>
      <c r="H45" s="98">
        <v>1.24</v>
      </c>
      <c r="I45" s="98"/>
      <c r="J45" s="718">
        <v>250</v>
      </c>
      <c r="K45" s="98">
        <v>0.94</v>
      </c>
      <c r="L45" s="98">
        <v>0.08</v>
      </c>
      <c r="M45" s="98">
        <v>0.94</v>
      </c>
      <c r="N45" s="98">
        <v>0.73</v>
      </c>
      <c r="O45" s="99">
        <v>1.2</v>
      </c>
    </row>
    <row r="46" spans="1:15" s="86" customFormat="1" ht="15" x14ac:dyDescent="0.25">
      <c r="A46" s="1277" t="s">
        <v>848</v>
      </c>
      <c r="B46" s="87" t="s">
        <v>837</v>
      </c>
      <c r="C46" s="88">
        <v>2460</v>
      </c>
      <c r="D46" s="711">
        <v>49.87</v>
      </c>
      <c r="E46" s="711">
        <v>10.07</v>
      </c>
      <c r="F46" s="711">
        <v>50</v>
      </c>
      <c r="G46" s="711">
        <v>20</v>
      </c>
      <c r="H46" s="711">
        <v>85</v>
      </c>
      <c r="I46" s="711"/>
      <c r="J46" s="717">
        <v>317</v>
      </c>
      <c r="K46" s="711">
        <v>52.92</v>
      </c>
      <c r="L46" s="711">
        <v>9.56</v>
      </c>
      <c r="M46" s="711">
        <v>53</v>
      </c>
      <c r="N46" s="711">
        <v>26</v>
      </c>
      <c r="O46" s="712">
        <v>80</v>
      </c>
    </row>
    <row r="47" spans="1:15" s="86" customFormat="1" ht="15" x14ac:dyDescent="0.25">
      <c r="A47" s="1278"/>
      <c r="B47" s="87" t="s">
        <v>838</v>
      </c>
      <c r="C47" s="88">
        <v>2460</v>
      </c>
      <c r="D47" s="711">
        <v>22.67</v>
      </c>
      <c r="E47" s="711">
        <v>3.69</v>
      </c>
      <c r="F47" s="711">
        <v>22.46</v>
      </c>
      <c r="G47" s="711">
        <v>13.47</v>
      </c>
      <c r="H47" s="711">
        <v>35.89</v>
      </c>
      <c r="I47" s="711"/>
      <c r="J47" s="717">
        <v>317</v>
      </c>
      <c r="K47" s="711">
        <v>23.61</v>
      </c>
      <c r="L47" s="711">
        <v>4.49</v>
      </c>
      <c r="M47" s="711">
        <v>23.46</v>
      </c>
      <c r="N47" s="711">
        <v>13.89</v>
      </c>
      <c r="O47" s="712">
        <v>40.06</v>
      </c>
    </row>
    <row r="48" spans="1:15" s="86" customFormat="1" ht="15" x14ac:dyDescent="0.25">
      <c r="A48" s="1278"/>
      <c r="B48" s="87" t="s">
        <v>839</v>
      </c>
      <c r="C48" s="88">
        <v>2460</v>
      </c>
      <c r="D48" s="711">
        <v>60.74</v>
      </c>
      <c r="E48" s="711">
        <v>10.85</v>
      </c>
      <c r="F48" s="711">
        <v>60.19</v>
      </c>
      <c r="G48" s="711">
        <v>34.4</v>
      </c>
      <c r="H48" s="711">
        <v>99.1</v>
      </c>
      <c r="I48" s="711"/>
      <c r="J48" s="717">
        <v>317</v>
      </c>
      <c r="K48" s="711">
        <v>53.73</v>
      </c>
      <c r="L48" s="711">
        <v>10.9</v>
      </c>
      <c r="M48" s="711">
        <v>52.79</v>
      </c>
      <c r="N48" s="711">
        <v>28</v>
      </c>
      <c r="O48" s="712">
        <v>89.5</v>
      </c>
    </row>
    <row r="49" spans="1:15" s="86" customFormat="1" ht="15" x14ac:dyDescent="0.25">
      <c r="A49" s="1278"/>
      <c r="B49" s="87" t="s">
        <v>840</v>
      </c>
      <c r="C49" s="88">
        <v>2460</v>
      </c>
      <c r="D49" s="711">
        <v>163.58000000000001</v>
      </c>
      <c r="E49" s="711">
        <v>6.21</v>
      </c>
      <c r="F49" s="711">
        <v>164</v>
      </c>
      <c r="G49" s="711">
        <v>122</v>
      </c>
      <c r="H49" s="711">
        <v>198</v>
      </c>
      <c r="I49" s="711"/>
      <c r="J49" s="717">
        <v>317</v>
      </c>
      <c r="K49" s="711">
        <v>150.76</v>
      </c>
      <c r="L49" s="711">
        <v>5.08</v>
      </c>
      <c r="M49" s="711">
        <v>151</v>
      </c>
      <c r="N49" s="711">
        <v>133</v>
      </c>
      <c r="O49" s="712">
        <v>166</v>
      </c>
    </row>
    <row r="50" spans="1:15" s="86" customFormat="1" ht="15" x14ac:dyDescent="0.25">
      <c r="A50" s="1279"/>
      <c r="B50" s="89" t="s">
        <v>844</v>
      </c>
      <c r="C50" s="90">
        <v>2460</v>
      </c>
      <c r="D50" s="98">
        <v>0.96</v>
      </c>
      <c r="E50" s="98">
        <v>7.0000000000000007E-2</v>
      </c>
      <c r="F50" s="98">
        <v>0.96</v>
      </c>
      <c r="G50" s="98">
        <v>0.66</v>
      </c>
      <c r="H50" s="98">
        <v>1.45</v>
      </c>
      <c r="I50" s="98"/>
      <c r="J50" s="718">
        <v>317</v>
      </c>
      <c r="K50" s="98">
        <v>0.92</v>
      </c>
      <c r="L50" s="98">
        <v>0.08</v>
      </c>
      <c r="M50" s="98">
        <v>0.92</v>
      </c>
      <c r="N50" s="98">
        <v>0.61</v>
      </c>
      <c r="O50" s="99">
        <v>1.1399999999999999</v>
      </c>
    </row>
    <row r="51" spans="1:15" s="86" customFormat="1" ht="15" x14ac:dyDescent="0.25">
      <c r="A51" s="1277" t="s">
        <v>328</v>
      </c>
      <c r="B51" s="855" t="s">
        <v>837</v>
      </c>
      <c r="C51" s="856">
        <v>308</v>
      </c>
      <c r="D51" s="857">
        <v>57.4</v>
      </c>
      <c r="E51" s="857">
        <v>10.8</v>
      </c>
      <c r="F51" s="857">
        <v>58</v>
      </c>
      <c r="G51" s="857">
        <v>23</v>
      </c>
      <c r="H51" s="857">
        <v>81</v>
      </c>
      <c r="I51" s="857"/>
      <c r="J51" s="858">
        <v>480</v>
      </c>
      <c r="K51" s="857">
        <v>58.6</v>
      </c>
      <c r="L51" s="857">
        <v>11</v>
      </c>
      <c r="M51" s="857">
        <v>60</v>
      </c>
      <c r="N51" s="857">
        <v>21</v>
      </c>
      <c r="O51" s="710">
        <v>85</v>
      </c>
    </row>
    <row r="52" spans="1:15" s="86" customFormat="1" ht="15" x14ac:dyDescent="0.25">
      <c r="A52" s="1278"/>
      <c r="B52" s="87" t="s">
        <v>838</v>
      </c>
      <c r="C52" s="88">
        <v>308</v>
      </c>
      <c r="D52" s="711">
        <v>27.7</v>
      </c>
      <c r="E52" s="711">
        <v>3.3</v>
      </c>
      <c r="F52" s="711">
        <v>28</v>
      </c>
      <c r="G52" s="711">
        <v>17</v>
      </c>
      <c r="H52" s="711">
        <v>38</v>
      </c>
      <c r="I52" s="711"/>
      <c r="J52" s="717">
        <v>480</v>
      </c>
      <c r="K52" s="711">
        <v>27.4</v>
      </c>
      <c r="L52" s="711">
        <v>4.0999999999999996</v>
      </c>
      <c r="M52" s="711">
        <v>27</v>
      </c>
      <c r="N52" s="711">
        <v>17</v>
      </c>
      <c r="O52" s="712">
        <v>42</v>
      </c>
    </row>
    <row r="53" spans="1:15" s="86" customFormat="1" ht="15" x14ac:dyDescent="0.25">
      <c r="A53" s="1278"/>
      <c r="B53" s="87" t="s">
        <v>839</v>
      </c>
      <c r="C53" s="88">
        <v>308</v>
      </c>
      <c r="D53" s="711">
        <v>83.4</v>
      </c>
      <c r="E53" s="711">
        <v>11.7</v>
      </c>
      <c r="F53" s="711">
        <v>82.3</v>
      </c>
      <c r="G53" s="711">
        <v>54.9</v>
      </c>
      <c r="H53" s="711">
        <v>120</v>
      </c>
      <c r="I53" s="711"/>
      <c r="J53" s="717">
        <v>480</v>
      </c>
      <c r="K53" s="711">
        <v>70.8</v>
      </c>
      <c r="L53" s="711">
        <v>11.5</v>
      </c>
      <c r="M53" s="711">
        <v>69.8</v>
      </c>
      <c r="N53" s="711">
        <v>41.7</v>
      </c>
      <c r="O53" s="712">
        <v>110.2</v>
      </c>
    </row>
    <row r="54" spans="1:15" s="86" customFormat="1" ht="15" x14ac:dyDescent="0.25">
      <c r="A54" s="1278"/>
      <c r="B54" s="87" t="s">
        <v>840</v>
      </c>
      <c r="C54" s="88">
        <v>308</v>
      </c>
      <c r="D54" s="711">
        <v>173.4</v>
      </c>
      <c r="E54" s="711">
        <v>7.46</v>
      </c>
      <c r="F54" s="711">
        <v>173</v>
      </c>
      <c r="G54" s="711">
        <v>154</v>
      </c>
      <c r="H54" s="711">
        <v>193</v>
      </c>
      <c r="I54" s="711"/>
      <c r="J54" s="717">
        <v>480</v>
      </c>
      <c r="K54" s="711">
        <v>160.80000000000001</v>
      </c>
      <c r="L54" s="711">
        <v>6.2</v>
      </c>
      <c r="M54" s="711">
        <v>160</v>
      </c>
      <c r="N54" s="711">
        <v>139</v>
      </c>
      <c r="O54" s="712">
        <v>181</v>
      </c>
    </row>
    <row r="55" spans="1:15" s="86" customFormat="1" ht="15" x14ac:dyDescent="0.25">
      <c r="A55" s="1278"/>
      <c r="B55" s="87" t="s">
        <v>841</v>
      </c>
      <c r="C55" s="88">
        <v>308</v>
      </c>
      <c r="D55" s="711">
        <v>97.8</v>
      </c>
      <c r="E55" s="711">
        <v>8.6999999999999993</v>
      </c>
      <c r="F55" s="711">
        <v>98</v>
      </c>
      <c r="G55" s="711">
        <v>78</v>
      </c>
      <c r="H55" s="711">
        <v>127</v>
      </c>
      <c r="I55" s="711"/>
      <c r="J55" s="717">
        <v>480</v>
      </c>
      <c r="K55" s="711">
        <v>85.8</v>
      </c>
      <c r="L55" s="711">
        <v>10.3</v>
      </c>
      <c r="M55" s="711">
        <v>85</v>
      </c>
      <c r="N55" s="711">
        <v>60</v>
      </c>
      <c r="O55" s="712">
        <v>122</v>
      </c>
    </row>
    <row r="56" spans="1:15" s="86" customFormat="1" ht="15" x14ac:dyDescent="0.25">
      <c r="A56" s="1278"/>
      <c r="B56" s="87" t="s">
        <v>843</v>
      </c>
      <c r="C56" s="88">
        <v>308</v>
      </c>
      <c r="D56" s="711">
        <v>103.7</v>
      </c>
      <c r="E56" s="711">
        <v>6.4</v>
      </c>
      <c r="F56" s="711">
        <v>104</v>
      </c>
      <c r="G56" s="711">
        <v>84</v>
      </c>
      <c r="H56" s="711">
        <v>124</v>
      </c>
      <c r="I56" s="711"/>
      <c r="J56" s="717">
        <v>480</v>
      </c>
      <c r="K56" s="711">
        <v>103.9</v>
      </c>
      <c r="L56" s="711">
        <v>9.4</v>
      </c>
      <c r="M56" s="711">
        <v>104</v>
      </c>
      <c r="N56" s="711">
        <v>79</v>
      </c>
      <c r="O56" s="712">
        <v>144</v>
      </c>
    </row>
    <row r="57" spans="1:15" s="86" customFormat="1" ht="15" x14ac:dyDescent="0.25">
      <c r="A57" s="1279"/>
      <c r="B57" s="89" t="s">
        <v>844</v>
      </c>
      <c r="C57" s="90">
        <v>308</v>
      </c>
      <c r="D57" s="98">
        <v>0.94</v>
      </c>
      <c r="E57" s="98">
        <v>0.06</v>
      </c>
      <c r="F57" s="98">
        <v>0.94</v>
      </c>
      <c r="G57" s="98">
        <v>0.82</v>
      </c>
      <c r="H57" s="98">
        <v>1.2</v>
      </c>
      <c r="I57" s="98"/>
      <c r="J57" s="718">
        <v>480</v>
      </c>
      <c r="K57" s="98">
        <v>0.83</v>
      </c>
      <c r="L57" s="98">
        <v>7.0000000000000007E-2</v>
      </c>
      <c r="M57" s="98">
        <v>0.82</v>
      </c>
      <c r="N57" s="98">
        <v>0.62</v>
      </c>
      <c r="O57" s="99">
        <v>1.08</v>
      </c>
    </row>
    <row r="58" spans="1:15" s="86" customFormat="1" ht="15" x14ac:dyDescent="0.25">
      <c r="A58" s="1277" t="s">
        <v>849</v>
      </c>
      <c r="B58" s="855" t="s">
        <v>837</v>
      </c>
      <c r="C58" s="856">
        <v>849</v>
      </c>
      <c r="D58" s="857">
        <v>24.247</v>
      </c>
      <c r="E58" s="857">
        <v>3.7050000000000001</v>
      </c>
      <c r="F58" s="857">
        <v>24</v>
      </c>
      <c r="G58" s="857">
        <v>18</v>
      </c>
      <c r="H58" s="857">
        <v>34</v>
      </c>
      <c r="I58" s="857"/>
      <c r="J58" s="858">
        <v>1113</v>
      </c>
      <c r="K58" s="857">
        <v>24.446999999999999</v>
      </c>
      <c r="L58" s="857">
        <v>3.859</v>
      </c>
      <c r="M58" s="857">
        <v>24</v>
      </c>
      <c r="N58" s="857">
        <v>18</v>
      </c>
      <c r="O58" s="710">
        <v>35</v>
      </c>
    </row>
    <row r="59" spans="1:15" s="86" customFormat="1" ht="15" x14ac:dyDescent="0.25">
      <c r="A59" s="1278"/>
      <c r="B59" s="87" t="s">
        <v>838</v>
      </c>
      <c r="C59" s="88">
        <v>849</v>
      </c>
      <c r="D59" s="711">
        <v>24.643000000000001</v>
      </c>
      <c r="E59" s="711">
        <v>4.3639999999999999</v>
      </c>
      <c r="F59" s="711">
        <v>23.85</v>
      </c>
      <c r="G59" s="711">
        <v>15.79</v>
      </c>
      <c r="H59" s="711">
        <v>51.94</v>
      </c>
      <c r="I59" s="711"/>
      <c r="J59" s="717">
        <v>1113</v>
      </c>
      <c r="K59" s="711">
        <v>26.018999999999998</v>
      </c>
      <c r="L59" s="711">
        <v>6.6</v>
      </c>
      <c r="M59" s="711">
        <v>24.36</v>
      </c>
      <c r="N59" s="711">
        <v>14.54</v>
      </c>
      <c r="O59" s="712">
        <v>53.53</v>
      </c>
    </row>
    <row r="60" spans="1:15" s="95" customFormat="1" ht="15" x14ac:dyDescent="0.25">
      <c r="A60" s="1278"/>
      <c r="B60" s="87" t="s">
        <v>840</v>
      </c>
      <c r="C60" s="88">
        <v>851</v>
      </c>
      <c r="D60" s="711">
        <v>177.018</v>
      </c>
      <c r="E60" s="711">
        <v>6.9240000000000004</v>
      </c>
      <c r="F60" s="711">
        <v>177</v>
      </c>
      <c r="G60" s="711">
        <v>150</v>
      </c>
      <c r="H60" s="711">
        <v>206.5</v>
      </c>
      <c r="I60" s="711"/>
      <c r="J60" s="717">
        <v>1117</v>
      </c>
      <c r="K60" s="711">
        <v>163.7055</v>
      </c>
      <c r="L60" s="711">
        <v>7.0235200000000004</v>
      </c>
      <c r="M60" s="711">
        <v>163.5</v>
      </c>
      <c r="N60" s="711">
        <v>121</v>
      </c>
      <c r="O60" s="711">
        <v>188</v>
      </c>
    </row>
    <row r="61" spans="1:15" s="86" customFormat="1" ht="15" x14ac:dyDescent="0.25">
      <c r="A61" s="1279"/>
      <c r="B61" s="89" t="s">
        <v>844</v>
      </c>
      <c r="C61" s="90">
        <v>849</v>
      </c>
      <c r="D61" s="98">
        <v>0.81799999999999995</v>
      </c>
      <c r="E61" s="98">
        <v>4.7800000000000002E-2</v>
      </c>
      <c r="F61" s="98">
        <v>0.81430000000000002</v>
      </c>
      <c r="G61" s="98">
        <v>0.54410000000000003</v>
      </c>
      <c r="H61" s="98">
        <v>1.2330000000000001</v>
      </c>
      <c r="I61" s="98"/>
      <c r="J61" s="718">
        <v>1113</v>
      </c>
      <c r="K61" s="98">
        <v>0.74399999999999999</v>
      </c>
      <c r="L61" s="98">
        <v>6.1199999999999997E-2</v>
      </c>
      <c r="M61" s="98">
        <v>0.73660000000000003</v>
      </c>
      <c r="N61" s="98">
        <v>0.4788</v>
      </c>
      <c r="O61" s="99">
        <v>1.262</v>
      </c>
    </row>
    <row r="62" spans="1:15" s="86" customFormat="1" ht="15" x14ac:dyDescent="0.25">
      <c r="A62" s="1277" t="s">
        <v>850</v>
      </c>
      <c r="B62" s="855" t="s">
        <v>837</v>
      </c>
      <c r="C62" s="856">
        <v>1027</v>
      </c>
      <c r="D62" s="857">
        <v>25.5</v>
      </c>
      <c r="E62" s="857">
        <v>3.3159999999999998</v>
      </c>
      <c r="F62" s="857">
        <v>26</v>
      </c>
      <c r="G62" s="857">
        <v>18</v>
      </c>
      <c r="H62" s="857">
        <v>32</v>
      </c>
      <c r="I62" s="857"/>
      <c r="J62" s="858">
        <v>1142</v>
      </c>
      <c r="K62" s="857">
        <v>25.454000000000001</v>
      </c>
      <c r="L62" s="857">
        <v>3.4329999999999998</v>
      </c>
      <c r="M62" s="857">
        <v>26</v>
      </c>
      <c r="N62" s="857">
        <v>18</v>
      </c>
      <c r="O62" s="710">
        <v>31</v>
      </c>
    </row>
    <row r="63" spans="1:15" s="86" customFormat="1" ht="15" x14ac:dyDescent="0.25">
      <c r="A63" s="1278"/>
      <c r="B63" s="87" t="s">
        <v>838</v>
      </c>
      <c r="C63" s="88">
        <v>1027</v>
      </c>
      <c r="D63" s="711">
        <v>24.353999999999999</v>
      </c>
      <c r="E63" s="711">
        <v>3.6640000000000001</v>
      </c>
      <c r="F63" s="711">
        <v>23.77</v>
      </c>
      <c r="G63" s="711">
        <v>16.850000000000001</v>
      </c>
      <c r="H63" s="711">
        <v>43.27</v>
      </c>
      <c r="I63" s="711"/>
      <c r="J63" s="717">
        <v>1142</v>
      </c>
      <c r="K63" s="711">
        <v>23.125</v>
      </c>
      <c r="L63" s="711">
        <v>4.423</v>
      </c>
      <c r="M63" s="711">
        <v>22</v>
      </c>
      <c r="N63" s="711">
        <v>16.309999999999999</v>
      </c>
      <c r="O63" s="712">
        <v>46.94</v>
      </c>
    </row>
    <row r="64" spans="1:15" s="95" customFormat="1" ht="15" x14ac:dyDescent="0.25">
      <c r="A64" s="1278"/>
      <c r="B64" s="87" t="s">
        <v>840</v>
      </c>
      <c r="C64" s="88">
        <v>1027</v>
      </c>
      <c r="D64" s="711">
        <v>178.226</v>
      </c>
      <c r="E64" s="711">
        <v>6.7830000000000004</v>
      </c>
      <c r="F64" s="711">
        <v>178</v>
      </c>
      <c r="G64" s="711">
        <v>157</v>
      </c>
      <c r="H64" s="711">
        <v>203</v>
      </c>
      <c r="I64" s="711"/>
      <c r="J64" s="717">
        <v>1146</v>
      </c>
      <c r="K64" s="711">
        <v>165.18899999999999</v>
      </c>
      <c r="L64" s="711">
        <v>6.2649999999999997</v>
      </c>
      <c r="M64" s="711">
        <v>165</v>
      </c>
      <c r="N64" s="711">
        <v>138</v>
      </c>
      <c r="O64" s="711">
        <v>185</v>
      </c>
    </row>
    <row r="65" spans="1:15" s="86" customFormat="1" ht="15" x14ac:dyDescent="0.25">
      <c r="A65" s="1279"/>
      <c r="B65" s="89" t="s">
        <v>844</v>
      </c>
      <c r="C65" s="90">
        <v>1027</v>
      </c>
      <c r="D65" s="98">
        <v>0.83899999999999997</v>
      </c>
      <c r="E65" s="98">
        <v>4.7E-2</v>
      </c>
      <c r="F65" s="98">
        <v>0.8367</v>
      </c>
      <c r="G65" s="98">
        <v>0.7107</v>
      </c>
      <c r="H65" s="98">
        <v>1.03</v>
      </c>
      <c r="I65" s="98"/>
      <c r="J65" s="718">
        <v>1142</v>
      </c>
      <c r="K65" s="98">
        <v>0.72599999999999998</v>
      </c>
      <c r="L65" s="98">
        <v>0.05</v>
      </c>
      <c r="M65" s="98">
        <v>0.71989999999999998</v>
      </c>
      <c r="N65" s="98">
        <v>0.5423</v>
      </c>
      <c r="O65" s="99">
        <v>1.3109999999999999</v>
      </c>
    </row>
    <row r="66" spans="1:15" s="86" customFormat="1" ht="15" x14ac:dyDescent="0.25">
      <c r="A66" s="1277" t="s">
        <v>341</v>
      </c>
      <c r="B66" s="855" t="s">
        <v>837</v>
      </c>
      <c r="C66" s="856">
        <v>228</v>
      </c>
      <c r="D66" s="857">
        <v>50.01</v>
      </c>
      <c r="E66" s="857">
        <v>17.012640000000001</v>
      </c>
      <c r="F66" s="857">
        <v>52.88</v>
      </c>
      <c r="G66" s="857">
        <v>18.09</v>
      </c>
      <c r="H66" s="857">
        <v>82.4</v>
      </c>
      <c r="I66" s="857"/>
      <c r="J66" s="858">
        <v>345</v>
      </c>
      <c r="K66" s="857">
        <v>49.57</v>
      </c>
      <c r="L66" s="857">
        <v>16.676680000000001</v>
      </c>
      <c r="M66" s="857">
        <v>51.72</v>
      </c>
      <c r="N66" s="857">
        <v>18.37</v>
      </c>
      <c r="O66" s="710">
        <v>90.83</v>
      </c>
    </row>
    <row r="67" spans="1:15" s="86" customFormat="1" ht="15" x14ac:dyDescent="0.25">
      <c r="A67" s="1278"/>
      <c r="B67" s="87" t="s">
        <v>838</v>
      </c>
      <c r="C67" s="88">
        <v>228</v>
      </c>
      <c r="D67" s="711">
        <v>27.11</v>
      </c>
      <c r="E67" s="711">
        <v>4.0704909999999996</v>
      </c>
      <c r="F67" s="711">
        <v>26.77</v>
      </c>
      <c r="G67" s="711">
        <v>18.690000000000001</v>
      </c>
      <c r="H67" s="711">
        <v>39.450000000000003</v>
      </c>
      <c r="I67" s="711"/>
      <c r="J67" s="717">
        <v>345</v>
      </c>
      <c r="K67" s="711">
        <v>27.55</v>
      </c>
      <c r="L67" s="711">
        <v>5.8855190000000004</v>
      </c>
      <c r="M67" s="711">
        <v>27.24</v>
      </c>
      <c r="N67" s="711">
        <v>16.59</v>
      </c>
      <c r="O67" s="712">
        <v>51.35</v>
      </c>
    </row>
    <row r="68" spans="1:15" s="86" customFormat="1" ht="15" x14ac:dyDescent="0.25">
      <c r="A68" s="1278"/>
      <c r="B68" s="87" t="s">
        <v>839</v>
      </c>
      <c r="C68" s="88">
        <v>228</v>
      </c>
      <c r="D68" s="711">
        <v>76.28</v>
      </c>
      <c r="E68" s="711">
        <v>12.17313</v>
      </c>
      <c r="F68" s="711">
        <v>75</v>
      </c>
      <c r="G68" s="711">
        <v>45</v>
      </c>
      <c r="H68" s="711">
        <v>125</v>
      </c>
      <c r="I68" s="711"/>
      <c r="J68" s="717">
        <v>345</v>
      </c>
      <c r="K68" s="711">
        <v>65.69</v>
      </c>
      <c r="L68" s="711">
        <v>13.468500000000001</v>
      </c>
      <c r="M68" s="711">
        <v>64</v>
      </c>
      <c r="N68" s="711">
        <v>39</v>
      </c>
      <c r="O68" s="712">
        <v>123</v>
      </c>
    </row>
    <row r="69" spans="1:15" s="86" customFormat="1" ht="15" x14ac:dyDescent="0.25">
      <c r="A69" s="1278"/>
      <c r="B69" s="87" t="s">
        <v>840</v>
      </c>
      <c r="C69" s="88">
        <v>228</v>
      </c>
      <c r="D69" s="711">
        <v>167.8</v>
      </c>
      <c r="E69" s="711">
        <v>7.3900259999999998</v>
      </c>
      <c r="F69" s="711">
        <v>167</v>
      </c>
      <c r="G69" s="711">
        <v>148</v>
      </c>
      <c r="H69" s="711">
        <v>190</v>
      </c>
      <c r="I69" s="711"/>
      <c r="J69" s="717">
        <v>345</v>
      </c>
      <c r="K69" s="711">
        <v>154.69999999999999</v>
      </c>
      <c r="L69" s="711">
        <v>6.4854130000000003</v>
      </c>
      <c r="M69" s="711">
        <v>154</v>
      </c>
      <c r="N69" s="711">
        <v>140</v>
      </c>
      <c r="O69" s="712">
        <v>173</v>
      </c>
    </row>
    <row r="70" spans="1:15" s="86" customFormat="1" ht="15" x14ac:dyDescent="0.25">
      <c r="A70" s="1278"/>
      <c r="B70" s="87" t="s">
        <v>841</v>
      </c>
      <c r="C70" s="88">
        <v>228</v>
      </c>
      <c r="D70" s="711">
        <v>94.86</v>
      </c>
      <c r="E70" s="711">
        <v>12.02351</v>
      </c>
      <c r="F70" s="711">
        <v>95</v>
      </c>
      <c r="G70" s="711">
        <v>61</v>
      </c>
      <c r="H70" s="711">
        <v>121</v>
      </c>
      <c r="I70" s="711"/>
      <c r="J70" s="717">
        <v>345</v>
      </c>
      <c r="K70" s="711">
        <v>86.79</v>
      </c>
      <c r="L70" s="711">
        <v>14.42769</v>
      </c>
      <c r="M70" s="711">
        <v>86</v>
      </c>
      <c r="N70" s="711">
        <v>56</v>
      </c>
      <c r="O70" s="712">
        <v>129</v>
      </c>
    </row>
    <row r="71" spans="1:15" s="86" customFormat="1" ht="15" x14ac:dyDescent="0.25">
      <c r="A71" s="1278"/>
      <c r="B71" s="87" t="s">
        <v>843</v>
      </c>
      <c r="C71" s="88">
        <v>228</v>
      </c>
      <c r="D71" s="711">
        <v>102.4</v>
      </c>
      <c r="E71" s="711">
        <v>10.259169999999999</v>
      </c>
      <c r="F71" s="711">
        <v>102.5</v>
      </c>
      <c r="G71" s="711">
        <v>50</v>
      </c>
      <c r="H71" s="711">
        <v>132</v>
      </c>
      <c r="I71" s="711"/>
      <c r="J71" s="717">
        <v>345</v>
      </c>
      <c r="K71" s="711">
        <v>103.6</v>
      </c>
      <c r="L71" s="711">
        <v>12.883710000000001</v>
      </c>
      <c r="M71" s="711">
        <v>102</v>
      </c>
      <c r="N71" s="711">
        <v>70</v>
      </c>
      <c r="O71" s="712">
        <v>150</v>
      </c>
    </row>
    <row r="72" spans="1:15" s="86" customFormat="1" ht="15" x14ac:dyDescent="0.25">
      <c r="A72" s="1279"/>
      <c r="B72" s="89" t="s">
        <v>844</v>
      </c>
      <c r="C72" s="90">
        <v>228</v>
      </c>
      <c r="D72" s="98">
        <v>0.92630000000000001</v>
      </c>
      <c r="E72" s="98">
        <v>7.3759210000000006E-2</v>
      </c>
      <c r="F72" s="98">
        <v>0.92959999999999998</v>
      </c>
      <c r="G72" s="98">
        <v>0.76190000000000002</v>
      </c>
      <c r="H72" s="98">
        <v>1.34</v>
      </c>
      <c r="I72" s="98"/>
      <c r="J72" s="718">
        <v>345</v>
      </c>
      <c r="K72" s="98">
        <v>0.83499999999999996</v>
      </c>
      <c r="L72" s="98">
        <v>6.7922919999999998E-2</v>
      </c>
      <c r="M72" s="98">
        <v>0.83499999999999996</v>
      </c>
      <c r="N72" s="98">
        <v>0.58950000000000002</v>
      </c>
      <c r="O72" s="99">
        <v>1.2</v>
      </c>
    </row>
    <row r="73" spans="1:15" s="86" customFormat="1" ht="15" x14ac:dyDescent="0.25">
      <c r="A73" s="1277" t="s">
        <v>851</v>
      </c>
      <c r="B73" s="855" t="s">
        <v>837</v>
      </c>
      <c r="C73" s="856">
        <v>306</v>
      </c>
      <c r="D73" s="857">
        <v>72.7</v>
      </c>
      <c r="E73" s="857">
        <v>5.8</v>
      </c>
      <c r="F73" s="857">
        <v>71</v>
      </c>
      <c r="G73" s="857">
        <v>65</v>
      </c>
      <c r="H73" s="857">
        <v>93</v>
      </c>
      <c r="I73" s="857"/>
      <c r="J73" s="858">
        <v>505</v>
      </c>
      <c r="K73" s="857">
        <v>72.900000000000006</v>
      </c>
      <c r="L73" s="857">
        <v>5.7</v>
      </c>
      <c r="M73" s="857">
        <v>72</v>
      </c>
      <c r="N73" s="857">
        <v>65</v>
      </c>
      <c r="O73" s="710">
        <v>93</v>
      </c>
    </row>
    <row r="74" spans="1:15" s="86" customFormat="1" ht="15" x14ac:dyDescent="0.25">
      <c r="A74" s="1278"/>
      <c r="B74" s="87" t="s">
        <v>838</v>
      </c>
      <c r="C74" s="88">
        <v>305</v>
      </c>
      <c r="D74" s="711">
        <v>26.7</v>
      </c>
      <c r="E74" s="711">
        <v>4.3</v>
      </c>
      <c r="F74" s="711">
        <v>26.4</v>
      </c>
      <c r="G74" s="711">
        <v>16.100000000000001</v>
      </c>
      <c r="H74" s="711">
        <v>38.200000000000003</v>
      </c>
      <c r="I74" s="711"/>
      <c r="J74" s="717">
        <v>503</v>
      </c>
      <c r="K74" s="711">
        <v>29.5</v>
      </c>
      <c r="L74" s="711">
        <v>5.9</v>
      </c>
      <c r="M74" s="711">
        <v>28.9</v>
      </c>
      <c r="N74" s="711">
        <v>16.3</v>
      </c>
      <c r="O74" s="712">
        <v>58.8</v>
      </c>
    </row>
    <row r="75" spans="1:15" s="86" customFormat="1" ht="15" x14ac:dyDescent="0.25">
      <c r="A75" s="1278"/>
      <c r="B75" s="87" t="s">
        <v>839</v>
      </c>
      <c r="C75" s="88">
        <v>305</v>
      </c>
      <c r="D75" s="711">
        <v>80.2</v>
      </c>
      <c r="E75" s="711">
        <v>14.3</v>
      </c>
      <c r="F75" s="711">
        <v>79.2</v>
      </c>
      <c r="G75" s="711">
        <v>47.6</v>
      </c>
      <c r="H75" s="711">
        <v>139.30000000000001</v>
      </c>
      <c r="I75" s="711"/>
      <c r="J75" s="717">
        <v>503</v>
      </c>
      <c r="K75" s="711">
        <v>75.099999999999994</v>
      </c>
      <c r="L75" s="711">
        <v>15.7</v>
      </c>
      <c r="M75" s="711">
        <v>72.8</v>
      </c>
      <c r="N75" s="711">
        <v>43.5</v>
      </c>
      <c r="O75" s="712">
        <v>134</v>
      </c>
    </row>
    <row r="76" spans="1:15" s="86" customFormat="1" ht="15" x14ac:dyDescent="0.25">
      <c r="A76" s="1278"/>
      <c r="B76" s="87" t="s">
        <v>840</v>
      </c>
      <c r="C76" s="88">
        <v>306</v>
      </c>
      <c r="D76" s="711">
        <v>173.3</v>
      </c>
      <c r="E76" s="711">
        <v>6.6</v>
      </c>
      <c r="F76" s="711">
        <v>173</v>
      </c>
      <c r="G76" s="711">
        <v>153.5</v>
      </c>
      <c r="H76" s="711">
        <v>196</v>
      </c>
      <c r="I76" s="711"/>
      <c r="J76" s="717">
        <v>504</v>
      </c>
      <c r="K76" s="711">
        <v>159.6</v>
      </c>
      <c r="L76" s="711">
        <v>6.4</v>
      </c>
      <c r="M76" s="711">
        <v>159</v>
      </c>
      <c r="N76" s="711">
        <v>145</v>
      </c>
      <c r="O76" s="712">
        <v>186.5</v>
      </c>
    </row>
    <row r="77" spans="1:15" s="86" customFormat="1" ht="15" x14ac:dyDescent="0.25">
      <c r="A77" s="1278"/>
      <c r="B77" s="87" t="s">
        <v>841</v>
      </c>
      <c r="C77" s="88">
        <v>306</v>
      </c>
      <c r="D77" s="711">
        <v>97</v>
      </c>
      <c r="E77" s="711">
        <v>11.8</v>
      </c>
      <c r="F77" s="711">
        <v>96.8</v>
      </c>
      <c r="G77" s="711">
        <v>69</v>
      </c>
      <c r="H77" s="711">
        <v>133</v>
      </c>
      <c r="I77" s="711"/>
      <c r="J77" s="717">
        <v>501</v>
      </c>
      <c r="K77" s="711">
        <v>99.9</v>
      </c>
      <c r="L77" s="711">
        <v>15.5</v>
      </c>
      <c r="M77" s="711">
        <v>98.5</v>
      </c>
      <c r="N77" s="711">
        <v>66</v>
      </c>
      <c r="O77" s="712">
        <v>167</v>
      </c>
    </row>
    <row r="78" spans="1:15" s="86" customFormat="1" ht="15" x14ac:dyDescent="0.25">
      <c r="A78" s="1278"/>
      <c r="B78" s="87" t="s">
        <v>843</v>
      </c>
      <c r="C78" s="88">
        <v>306</v>
      </c>
      <c r="D78" s="711">
        <v>100.6</v>
      </c>
      <c r="E78" s="711">
        <v>8.6</v>
      </c>
      <c r="F78" s="711">
        <v>100</v>
      </c>
      <c r="G78" s="711">
        <v>80</v>
      </c>
      <c r="H78" s="711">
        <v>135.5</v>
      </c>
      <c r="I78" s="711"/>
      <c r="J78" s="717">
        <v>502</v>
      </c>
      <c r="K78" s="711">
        <v>107.1</v>
      </c>
      <c r="L78" s="711">
        <v>12.8</v>
      </c>
      <c r="M78" s="711">
        <v>105.8</v>
      </c>
      <c r="N78" s="711">
        <v>79</v>
      </c>
      <c r="O78" s="712">
        <v>160</v>
      </c>
    </row>
    <row r="79" spans="1:15" s="86" customFormat="1" ht="15" x14ac:dyDescent="0.25">
      <c r="A79" s="1279"/>
      <c r="B79" s="87" t="s">
        <v>844</v>
      </c>
      <c r="C79" s="88">
        <v>306</v>
      </c>
      <c r="D79" s="711">
        <v>0.96</v>
      </c>
      <c r="E79" s="711">
        <v>0.06</v>
      </c>
      <c r="F79" s="711">
        <v>0.97</v>
      </c>
      <c r="G79" s="711">
        <v>0.79</v>
      </c>
      <c r="H79" s="711">
        <v>1.17</v>
      </c>
      <c r="I79" s="711"/>
      <c r="J79" s="717">
        <v>500</v>
      </c>
      <c r="K79" s="711">
        <v>0.93</v>
      </c>
      <c r="L79" s="711">
        <v>0.08</v>
      </c>
      <c r="M79" s="711">
        <v>0.94</v>
      </c>
      <c r="N79" s="711">
        <v>0.73</v>
      </c>
      <c r="O79" s="712">
        <v>1.23</v>
      </c>
    </row>
    <row r="80" spans="1:15" s="86" customFormat="1" ht="15" x14ac:dyDescent="0.25">
      <c r="A80" s="1277" t="s">
        <v>852</v>
      </c>
      <c r="B80" s="855" t="s">
        <v>837</v>
      </c>
      <c r="C80" s="856">
        <v>1845</v>
      </c>
      <c r="D80" s="857">
        <v>73.400000000000006</v>
      </c>
      <c r="E80" s="857">
        <v>5.8</v>
      </c>
      <c r="F80" s="857">
        <v>72</v>
      </c>
      <c r="G80" s="857">
        <v>65</v>
      </c>
      <c r="H80" s="857">
        <v>95</v>
      </c>
      <c r="I80" s="857"/>
      <c r="J80" s="858">
        <v>2403</v>
      </c>
      <c r="K80" s="857">
        <v>72.400000000000006</v>
      </c>
      <c r="L80" s="857">
        <v>5.5</v>
      </c>
      <c r="M80" s="857">
        <v>71</v>
      </c>
      <c r="N80" s="857">
        <v>65</v>
      </c>
      <c r="O80" s="710">
        <v>100</v>
      </c>
    </row>
    <row r="81" spans="1:15" s="86" customFormat="1" ht="15" x14ac:dyDescent="0.25">
      <c r="A81" s="1278"/>
      <c r="B81" s="87" t="s">
        <v>838</v>
      </c>
      <c r="C81" s="88">
        <v>1838</v>
      </c>
      <c r="D81" s="711">
        <v>26.4</v>
      </c>
      <c r="E81" s="711">
        <v>3.7</v>
      </c>
      <c r="F81" s="711">
        <v>26.1</v>
      </c>
      <c r="G81" s="711">
        <v>15.6</v>
      </c>
      <c r="H81" s="711">
        <v>46.2</v>
      </c>
      <c r="I81" s="711"/>
      <c r="J81" s="717">
        <v>2397</v>
      </c>
      <c r="K81" s="711">
        <v>26.3</v>
      </c>
      <c r="L81" s="711">
        <v>5</v>
      </c>
      <c r="M81" s="711">
        <v>25.7</v>
      </c>
      <c r="N81" s="711">
        <v>14.7</v>
      </c>
      <c r="O81" s="712">
        <v>48.3</v>
      </c>
    </row>
    <row r="82" spans="1:15" s="86" customFormat="1" ht="15" x14ac:dyDescent="0.25">
      <c r="A82" s="1278"/>
      <c r="B82" s="87" t="s">
        <v>839</v>
      </c>
      <c r="C82" s="88">
        <v>1838</v>
      </c>
      <c r="D82" s="711">
        <v>79.099999999999994</v>
      </c>
      <c r="E82" s="711">
        <v>12.2</v>
      </c>
      <c r="F82" s="711">
        <v>78.5</v>
      </c>
      <c r="G82" s="711">
        <v>46.3</v>
      </c>
      <c r="H82" s="711">
        <v>142.69999999999999</v>
      </c>
      <c r="I82" s="711"/>
      <c r="J82" s="717">
        <v>2398</v>
      </c>
      <c r="K82" s="711">
        <v>66.5</v>
      </c>
      <c r="L82" s="711">
        <v>13.2</v>
      </c>
      <c r="M82" s="711">
        <v>64.900000000000006</v>
      </c>
      <c r="N82" s="711">
        <v>32.799999999999997</v>
      </c>
      <c r="O82" s="712">
        <v>132.9</v>
      </c>
    </row>
    <row r="83" spans="1:15" s="86" customFormat="1" ht="15" x14ac:dyDescent="0.25">
      <c r="A83" s="1278"/>
      <c r="B83" s="87" t="s">
        <v>840</v>
      </c>
      <c r="C83" s="88">
        <v>1840</v>
      </c>
      <c r="D83" s="711">
        <v>173.1</v>
      </c>
      <c r="E83" s="711">
        <v>6.6</v>
      </c>
      <c r="F83" s="711">
        <v>173</v>
      </c>
      <c r="G83" s="711">
        <v>150</v>
      </c>
      <c r="H83" s="711">
        <v>193</v>
      </c>
      <c r="I83" s="711"/>
      <c r="J83" s="717">
        <v>2401</v>
      </c>
      <c r="K83" s="711">
        <v>158.9</v>
      </c>
      <c r="L83" s="711">
        <v>6.2</v>
      </c>
      <c r="M83" s="711">
        <v>158.80000000000001</v>
      </c>
      <c r="N83" s="711">
        <v>124</v>
      </c>
      <c r="O83" s="712">
        <v>179.9</v>
      </c>
    </row>
    <row r="84" spans="1:15" s="86" customFormat="1" ht="15" x14ac:dyDescent="0.25">
      <c r="A84" s="1278"/>
      <c r="B84" s="87" t="s">
        <v>841</v>
      </c>
      <c r="C84" s="88">
        <v>1830</v>
      </c>
      <c r="D84" s="711">
        <v>97.7</v>
      </c>
      <c r="E84" s="711">
        <v>10</v>
      </c>
      <c r="F84" s="711">
        <v>97</v>
      </c>
      <c r="G84" s="711">
        <v>70.5</v>
      </c>
      <c r="H84" s="711">
        <v>143</v>
      </c>
      <c r="I84" s="711"/>
      <c r="J84" s="717">
        <v>2387</v>
      </c>
      <c r="K84" s="711">
        <v>90.7</v>
      </c>
      <c r="L84" s="711">
        <v>13.7</v>
      </c>
      <c r="M84" s="711">
        <v>90</v>
      </c>
      <c r="N84" s="711">
        <v>54</v>
      </c>
      <c r="O84" s="712">
        <v>143</v>
      </c>
    </row>
    <row r="85" spans="1:15" s="86" customFormat="1" ht="15" x14ac:dyDescent="0.25">
      <c r="A85" s="1278"/>
      <c r="B85" s="87" t="s">
        <v>843</v>
      </c>
      <c r="C85" s="88">
        <v>1833</v>
      </c>
      <c r="D85" s="711">
        <v>101.1</v>
      </c>
      <c r="E85" s="711">
        <v>7.9</v>
      </c>
      <c r="F85" s="711">
        <v>100.5</v>
      </c>
      <c r="G85" s="711">
        <v>45.5</v>
      </c>
      <c r="H85" s="711">
        <v>155</v>
      </c>
      <c r="I85" s="711"/>
      <c r="J85" s="717">
        <v>2389</v>
      </c>
      <c r="K85" s="711">
        <v>101.8</v>
      </c>
      <c r="L85" s="711">
        <v>10.7</v>
      </c>
      <c r="M85" s="711">
        <v>100.2</v>
      </c>
      <c r="N85" s="711">
        <v>52</v>
      </c>
      <c r="O85" s="712">
        <v>153</v>
      </c>
    </row>
    <row r="86" spans="1:15" s="86" customFormat="1" ht="15" x14ac:dyDescent="0.25">
      <c r="A86" s="1279"/>
      <c r="B86" s="89" t="s">
        <v>844</v>
      </c>
      <c r="C86" s="90">
        <v>1829</v>
      </c>
      <c r="D86" s="98">
        <v>0.97</v>
      </c>
      <c r="E86" s="98">
        <v>7.0000000000000007E-2</v>
      </c>
      <c r="F86" s="98">
        <v>0.97</v>
      </c>
      <c r="G86" s="98">
        <v>0.61</v>
      </c>
      <c r="H86" s="98">
        <v>2.33</v>
      </c>
      <c r="I86" s="98"/>
      <c r="J86" s="718">
        <v>2387</v>
      </c>
      <c r="K86" s="98">
        <v>0.89</v>
      </c>
      <c r="L86" s="98">
        <v>0.09</v>
      </c>
      <c r="M86" s="98">
        <v>0.89</v>
      </c>
      <c r="N86" s="98">
        <v>0.61</v>
      </c>
      <c r="O86" s="99">
        <v>2.06</v>
      </c>
    </row>
    <row r="87" spans="1:15" s="86" customFormat="1" ht="15" x14ac:dyDescent="0.25">
      <c r="A87" s="1277" t="s">
        <v>349</v>
      </c>
      <c r="B87" s="855" t="s">
        <v>837</v>
      </c>
      <c r="C87" s="856" t="s">
        <v>842</v>
      </c>
      <c r="D87" s="857" t="s">
        <v>842</v>
      </c>
      <c r="E87" s="857" t="s">
        <v>842</v>
      </c>
      <c r="F87" s="857" t="s">
        <v>842</v>
      </c>
      <c r="G87" s="857" t="s">
        <v>842</v>
      </c>
      <c r="H87" s="857" t="s">
        <v>842</v>
      </c>
      <c r="I87" s="857"/>
      <c r="J87" s="858">
        <v>1785</v>
      </c>
      <c r="K87" s="857">
        <v>48.45</v>
      </c>
      <c r="L87" s="857">
        <v>6.7</v>
      </c>
      <c r="M87" s="857">
        <v>47.71</v>
      </c>
      <c r="N87" s="857">
        <v>35.67</v>
      </c>
      <c r="O87" s="710">
        <v>69.33</v>
      </c>
    </row>
    <row r="88" spans="1:15" s="86" customFormat="1" ht="15" x14ac:dyDescent="0.25">
      <c r="A88" s="1278"/>
      <c r="B88" s="87" t="s">
        <v>838</v>
      </c>
      <c r="C88" s="88" t="s">
        <v>842</v>
      </c>
      <c r="D88" s="711" t="s">
        <v>842</v>
      </c>
      <c r="E88" s="711" t="s">
        <v>842</v>
      </c>
      <c r="F88" s="711" t="s">
        <v>842</v>
      </c>
      <c r="G88" s="711" t="s">
        <v>842</v>
      </c>
      <c r="H88" s="711" t="s">
        <v>842</v>
      </c>
      <c r="I88" s="711"/>
      <c r="J88" s="717">
        <v>1778</v>
      </c>
      <c r="K88" s="711">
        <v>24.31</v>
      </c>
      <c r="L88" s="711">
        <v>4.37</v>
      </c>
      <c r="M88" s="711">
        <v>24.13</v>
      </c>
      <c r="N88" s="711">
        <v>12.31</v>
      </c>
      <c r="O88" s="712">
        <v>42.06</v>
      </c>
    </row>
    <row r="89" spans="1:15" s="86" customFormat="1" ht="15" x14ac:dyDescent="0.25">
      <c r="A89" s="1278"/>
      <c r="B89" s="87" t="s">
        <v>840</v>
      </c>
      <c r="C89" s="88" t="s">
        <v>842</v>
      </c>
      <c r="D89" s="711" t="s">
        <v>842</v>
      </c>
      <c r="E89" s="711" t="s">
        <v>842</v>
      </c>
      <c r="F89" s="711" t="s">
        <v>842</v>
      </c>
      <c r="G89" s="711" t="s">
        <v>842</v>
      </c>
      <c r="H89" s="711" t="s">
        <v>842</v>
      </c>
      <c r="I89" s="711"/>
      <c r="J89" s="717">
        <v>1785</v>
      </c>
      <c r="K89" s="711">
        <v>150.6</v>
      </c>
      <c r="L89" s="711">
        <v>5.0199999999999996</v>
      </c>
      <c r="M89" s="711">
        <v>150.4</v>
      </c>
      <c r="N89" s="711">
        <v>130.69999999999999</v>
      </c>
      <c r="O89" s="712">
        <v>168.8</v>
      </c>
    </row>
    <row r="90" spans="1:15" s="86" customFormat="1" ht="15" x14ac:dyDescent="0.25">
      <c r="A90" s="1279"/>
      <c r="B90" s="89" t="s">
        <v>844</v>
      </c>
      <c r="C90" s="90" t="s">
        <v>842</v>
      </c>
      <c r="D90" s="98" t="s">
        <v>842</v>
      </c>
      <c r="E90" s="98" t="s">
        <v>842</v>
      </c>
      <c r="F90" s="98" t="s">
        <v>842</v>
      </c>
      <c r="G90" s="98" t="s">
        <v>842</v>
      </c>
      <c r="H90" s="98" t="s">
        <v>842</v>
      </c>
      <c r="I90" s="98"/>
      <c r="J90" s="718">
        <v>1777</v>
      </c>
      <c r="K90" s="98">
        <v>0.88</v>
      </c>
      <c r="L90" s="98">
        <v>0.05</v>
      </c>
      <c r="M90" s="98">
        <v>0.88</v>
      </c>
      <c r="N90" s="98">
        <v>0.67</v>
      </c>
      <c r="O90" s="99">
        <v>1.33</v>
      </c>
    </row>
    <row r="91" spans="1:15" s="86" customFormat="1" ht="15" x14ac:dyDescent="0.25">
      <c r="A91" s="1277" t="s">
        <v>354</v>
      </c>
      <c r="B91" s="855" t="s">
        <v>837</v>
      </c>
      <c r="C91" s="856">
        <v>295</v>
      </c>
      <c r="D91" s="857">
        <v>57.379660999999999</v>
      </c>
      <c r="E91" s="857">
        <v>13.918552930000001</v>
      </c>
      <c r="F91" s="857">
        <v>59</v>
      </c>
      <c r="G91" s="857">
        <v>20</v>
      </c>
      <c r="H91" s="857">
        <v>90</v>
      </c>
      <c r="I91" s="857"/>
      <c r="J91" s="858">
        <v>519</v>
      </c>
      <c r="K91" s="857">
        <v>55.059730299999998</v>
      </c>
      <c r="L91" s="857">
        <v>13.6195655</v>
      </c>
      <c r="M91" s="857">
        <v>56</v>
      </c>
      <c r="N91" s="857">
        <v>18</v>
      </c>
      <c r="O91" s="710">
        <v>94</v>
      </c>
    </row>
    <row r="92" spans="1:15" s="86" customFormat="1" ht="15" x14ac:dyDescent="0.25">
      <c r="A92" s="1278"/>
      <c r="B92" s="87" t="s">
        <v>838</v>
      </c>
      <c r="C92" s="88">
        <v>295</v>
      </c>
      <c r="D92" s="711">
        <v>28.727457600000001</v>
      </c>
      <c r="E92" s="711">
        <v>3.5889004999999998</v>
      </c>
      <c r="F92" s="711">
        <v>28.65</v>
      </c>
      <c r="G92" s="711">
        <v>20.48</v>
      </c>
      <c r="H92" s="711">
        <v>40.67</v>
      </c>
      <c r="I92" s="711"/>
      <c r="J92" s="717">
        <v>519</v>
      </c>
      <c r="K92" s="711">
        <v>27.563660899999999</v>
      </c>
      <c r="L92" s="711">
        <v>4.36715418</v>
      </c>
      <c r="M92" s="711">
        <v>27.35</v>
      </c>
      <c r="N92" s="711">
        <v>16.59</v>
      </c>
      <c r="O92" s="712">
        <v>53.84</v>
      </c>
    </row>
    <row r="93" spans="1:15" s="86" customFormat="1" ht="15" x14ac:dyDescent="0.25">
      <c r="A93" s="1278"/>
      <c r="B93" s="87" t="s">
        <v>839</v>
      </c>
      <c r="C93" s="88">
        <v>295</v>
      </c>
      <c r="D93" s="711">
        <v>89.585762700000004</v>
      </c>
      <c r="E93" s="711">
        <v>12.46672854</v>
      </c>
      <c r="F93" s="711">
        <v>89.3</v>
      </c>
      <c r="G93" s="711">
        <v>58.1</v>
      </c>
      <c r="H93" s="711">
        <v>136.19999999999999</v>
      </c>
      <c r="I93" s="711"/>
      <c r="J93" s="717">
        <v>519</v>
      </c>
      <c r="K93" s="711">
        <v>73.488824699999995</v>
      </c>
      <c r="L93" s="711">
        <v>11.72945301</v>
      </c>
      <c r="M93" s="711">
        <v>72.900000000000006</v>
      </c>
      <c r="N93" s="711">
        <v>49.9</v>
      </c>
      <c r="O93" s="712">
        <v>166.6</v>
      </c>
    </row>
    <row r="94" spans="1:15" s="86" customFormat="1" ht="15" x14ac:dyDescent="0.25">
      <c r="A94" s="1278"/>
      <c r="B94" s="87" t="s">
        <v>840</v>
      </c>
      <c r="C94" s="88">
        <v>295</v>
      </c>
      <c r="D94" s="711">
        <v>176.54406779999999</v>
      </c>
      <c r="E94" s="711">
        <v>6.7343638800000001</v>
      </c>
      <c r="F94" s="711">
        <v>177</v>
      </c>
      <c r="G94" s="711">
        <v>158.30000000000001</v>
      </c>
      <c r="H94" s="711">
        <v>197</v>
      </c>
      <c r="I94" s="711"/>
      <c r="J94" s="717">
        <v>519</v>
      </c>
      <c r="K94" s="711">
        <v>163.42504819999999</v>
      </c>
      <c r="L94" s="711">
        <v>6.48014109</v>
      </c>
      <c r="M94" s="711">
        <v>163.69999999999999</v>
      </c>
      <c r="N94" s="711">
        <v>141</v>
      </c>
      <c r="O94" s="712">
        <v>186</v>
      </c>
    </row>
    <row r="95" spans="1:15" s="86" customFormat="1" ht="15" x14ac:dyDescent="0.25">
      <c r="A95" s="1278"/>
      <c r="B95" s="87" t="s">
        <v>841</v>
      </c>
      <c r="C95" s="88">
        <v>295</v>
      </c>
      <c r="D95" s="711">
        <v>100.29186439999999</v>
      </c>
      <c r="E95" s="711">
        <v>10.11841126</v>
      </c>
      <c r="F95" s="711">
        <v>100</v>
      </c>
      <c r="G95" s="711">
        <v>62</v>
      </c>
      <c r="H95" s="711">
        <v>130</v>
      </c>
      <c r="I95" s="711"/>
      <c r="J95" s="717">
        <v>519</v>
      </c>
      <c r="K95" s="711">
        <v>91.118593399999995</v>
      </c>
      <c r="L95" s="711">
        <v>11.96335081</v>
      </c>
      <c r="M95" s="711">
        <v>91</v>
      </c>
      <c r="N95" s="711">
        <v>63</v>
      </c>
      <c r="O95" s="712">
        <v>138.5</v>
      </c>
    </row>
    <row r="96" spans="1:15" s="86" customFormat="1" ht="15" x14ac:dyDescent="0.25">
      <c r="A96" s="1278"/>
      <c r="B96" s="87" t="s">
        <v>843</v>
      </c>
      <c r="C96" s="88">
        <v>295</v>
      </c>
      <c r="D96" s="711">
        <v>104.739322</v>
      </c>
      <c r="E96" s="711">
        <v>6.6314351</v>
      </c>
      <c r="F96" s="711">
        <v>104.5</v>
      </c>
      <c r="G96" s="711">
        <v>87.5</v>
      </c>
      <c r="H96" s="711">
        <v>127</v>
      </c>
      <c r="I96" s="711"/>
      <c r="J96" s="717">
        <v>519</v>
      </c>
      <c r="K96" s="711">
        <v>103.8462428</v>
      </c>
      <c r="L96" s="711">
        <v>8.5805529200000006</v>
      </c>
      <c r="M96" s="711">
        <v>103.2</v>
      </c>
      <c r="N96" s="711">
        <v>74.8</v>
      </c>
      <c r="O96" s="712">
        <v>156.30000000000001</v>
      </c>
    </row>
    <row r="97" spans="1:15" s="86" customFormat="1" ht="15" x14ac:dyDescent="0.25">
      <c r="A97" s="1279"/>
      <c r="B97" s="89" t="s">
        <v>844</v>
      </c>
      <c r="C97" s="90">
        <v>295</v>
      </c>
      <c r="D97" s="98">
        <v>0.95702290000000001</v>
      </c>
      <c r="E97" s="98">
        <v>6.8626789999999993E-2</v>
      </c>
      <c r="F97" s="98">
        <v>0.95608420000000005</v>
      </c>
      <c r="G97" s="98">
        <v>0.64248700000000003</v>
      </c>
      <c r="H97" s="98">
        <v>1.132571</v>
      </c>
      <c r="I97" s="98"/>
      <c r="J97" s="718">
        <v>519</v>
      </c>
      <c r="K97" s="98">
        <v>0.8768283</v>
      </c>
      <c r="L97" s="98">
        <v>8.4463090000000005E-2</v>
      </c>
      <c r="M97" s="98">
        <v>0.87346939999999995</v>
      </c>
      <c r="N97" s="98">
        <v>0.65486730000000004</v>
      </c>
      <c r="O97" s="99">
        <v>1.3536589999999999</v>
      </c>
    </row>
    <row r="98" spans="1:15" s="86" customFormat="1" x14ac:dyDescent="0.2">
      <c r="A98" s="1285" t="s">
        <v>853</v>
      </c>
      <c r="B98" s="862" t="s">
        <v>837</v>
      </c>
      <c r="C98" s="859">
        <v>5872</v>
      </c>
      <c r="D98" s="860">
        <v>55.046151226158003</v>
      </c>
      <c r="E98" s="860">
        <v>17.739411840930501</v>
      </c>
      <c r="F98" s="860">
        <v>53</v>
      </c>
      <c r="G98" s="860">
        <v>18</v>
      </c>
      <c r="H98" s="860">
        <v>103</v>
      </c>
      <c r="I98" s="860"/>
      <c r="J98" s="861">
        <v>7086</v>
      </c>
      <c r="K98" s="860">
        <v>54.751340671747101</v>
      </c>
      <c r="L98" s="860">
        <v>17.7157116246089</v>
      </c>
      <c r="M98" s="860">
        <v>53</v>
      </c>
      <c r="N98" s="860">
        <v>18</v>
      </c>
      <c r="O98" s="713">
        <v>98</v>
      </c>
    </row>
    <row r="99" spans="1:15" s="86" customFormat="1" x14ac:dyDescent="0.2">
      <c r="A99" s="1280"/>
      <c r="B99" s="91" t="s">
        <v>838</v>
      </c>
      <c r="C99" s="92">
        <v>5872</v>
      </c>
      <c r="D99" s="714">
        <v>28.248134502724799</v>
      </c>
      <c r="E99" s="714">
        <v>4.89888553428632</v>
      </c>
      <c r="F99" s="714">
        <v>27.472899999999999</v>
      </c>
      <c r="G99" s="714">
        <v>14.661099999999999</v>
      </c>
      <c r="H99" s="714">
        <v>65.772499999999994</v>
      </c>
      <c r="I99" s="714"/>
      <c r="J99" s="719">
        <v>7086</v>
      </c>
      <c r="K99" s="714">
        <v>28.287652893028401</v>
      </c>
      <c r="L99" s="714">
        <v>6.0831137367615398</v>
      </c>
      <c r="M99" s="714">
        <v>27.217300000000002</v>
      </c>
      <c r="N99" s="714">
        <v>13.7357</v>
      </c>
      <c r="O99" s="715">
        <v>73.507300000000001</v>
      </c>
    </row>
    <row r="100" spans="1:15" s="86" customFormat="1" x14ac:dyDescent="0.2">
      <c r="A100" s="1280"/>
      <c r="B100" s="91" t="s">
        <v>839</v>
      </c>
      <c r="C100" s="92">
        <v>5872</v>
      </c>
      <c r="D100" s="714">
        <v>90.662158463896404</v>
      </c>
      <c r="E100" s="714">
        <v>17.246365690675798</v>
      </c>
      <c r="F100" s="714">
        <v>88</v>
      </c>
      <c r="G100" s="714">
        <v>40.400100000000002</v>
      </c>
      <c r="H100" s="714">
        <v>230</v>
      </c>
      <c r="I100" s="714"/>
      <c r="J100" s="719">
        <v>7086</v>
      </c>
      <c r="K100" s="714">
        <v>77.8182450747952</v>
      </c>
      <c r="L100" s="714">
        <v>17.688098044501402</v>
      </c>
      <c r="M100" s="714">
        <v>74.500100000000003</v>
      </c>
      <c r="N100" s="714">
        <v>33</v>
      </c>
      <c r="O100" s="715">
        <v>220</v>
      </c>
    </row>
    <row r="101" spans="1:15" s="86" customFormat="1" x14ac:dyDescent="0.2">
      <c r="A101" s="1280"/>
      <c r="B101" s="91" t="s">
        <v>840</v>
      </c>
      <c r="C101" s="92">
        <v>5872</v>
      </c>
      <c r="D101" s="714">
        <v>179.02457425068101</v>
      </c>
      <c r="E101" s="714">
        <v>6.7259130223033203</v>
      </c>
      <c r="F101" s="714">
        <v>179</v>
      </c>
      <c r="G101" s="714">
        <v>151</v>
      </c>
      <c r="H101" s="714">
        <v>204</v>
      </c>
      <c r="I101" s="714"/>
      <c r="J101" s="719">
        <v>7086</v>
      </c>
      <c r="K101" s="714">
        <v>165.79294383291</v>
      </c>
      <c r="L101" s="714">
        <v>6.2452920703729298</v>
      </c>
      <c r="M101" s="714">
        <v>166</v>
      </c>
      <c r="N101" s="714">
        <v>142</v>
      </c>
      <c r="O101" s="715">
        <v>192</v>
      </c>
    </row>
    <row r="102" spans="1:15" s="86" customFormat="1" x14ac:dyDescent="0.2">
      <c r="A102" s="1280"/>
      <c r="B102" s="91" t="s">
        <v>841</v>
      </c>
      <c r="C102" s="92">
        <v>5872</v>
      </c>
      <c r="D102" s="714">
        <v>100.54514645776599</v>
      </c>
      <c r="E102" s="714">
        <v>14.045864330150801</v>
      </c>
      <c r="F102" s="714">
        <v>100</v>
      </c>
      <c r="G102" s="714">
        <v>32</v>
      </c>
      <c r="H102" s="714">
        <v>200</v>
      </c>
      <c r="I102" s="714"/>
      <c r="J102" s="719">
        <v>7086</v>
      </c>
      <c r="K102" s="714">
        <v>94.100028224668407</v>
      </c>
      <c r="L102" s="714">
        <v>15.6888122136593</v>
      </c>
      <c r="M102" s="714">
        <v>93</v>
      </c>
      <c r="N102" s="714">
        <v>30</v>
      </c>
      <c r="O102" s="715">
        <v>165</v>
      </c>
    </row>
    <row r="103" spans="1:15" s="86" customFormat="1" x14ac:dyDescent="0.2">
      <c r="A103" s="1280"/>
      <c r="B103" s="91" t="s">
        <v>843</v>
      </c>
      <c r="C103" s="92">
        <v>5872</v>
      </c>
      <c r="D103" s="714">
        <v>106.032901907357</v>
      </c>
      <c r="E103" s="714">
        <v>9.5662303355260896</v>
      </c>
      <c r="F103" s="714">
        <v>105</v>
      </c>
      <c r="G103" s="714">
        <v>40</v>
      </c>
      <c r="H103" s="714">
        <v>195</v>
      </c>
      <c r="I103" s="714"/>
      <c r="J103" s="719">
        <v>7086</v>
      </c>
      <c r="K103" s="714">
        <v>106.891193903472</v>
      </c>
      <c r="L103" s="714">
        <v>11.8787630399958</v>
      </c>
      <c r="M103" s="714">
        <v>105</v>
      </c>
      <c r="N103" s="714">
        <v>36.5</v>
      </c>
      <c r="O103" s="715">
        <v>173</v>
      </c>
    </row>
    <row r="104" spans="1:15" s="86" customFormat="1" x14ac:dyDescent="0.2">
      <c r="A104" s="1281"/>
      <c r="B104" s="93" t="s">
        <v>844</v>
      </c>
      <c r="C104" s="94">
        <v>5872</v>
      </c>
      <c r="D104" s="96">
        <v>0.94682763451239205</v>
      </c>
      <c r="E104" s="96">
        <v>8.6961223902081206E-2</v>
      </c>
      <c r="F104" s="96">
        <v>0.94949494949494995</v>
      </c>
      <c r="G104" s="96">
        <v>0.35555555555555601</v>
      </c>
      <c r="H104" s="96">
        <v>2.25</v>
      </c>
      <c r="I104" s="96"/>
      <c r="J104" s="720">
        <v>7086</v>
      </c>
      <c r="K104" s="96">
        <v>0.87879379870015895</v>
      </c>
      <c r="L104" s="96">
        <v>9.7606246538657807E-2</v>
      </c>
      <c r="M104" s="96">
        <v>0.87719298245613997</v>
      </c>
      <c r="N104" s="96">
        <v>0.34883720930232598</v>
      </c>
      <c r="O104" s="97">
        <v>1.7636363636362999</v>
      </c>
    </row>
    <row r="105" spans="1:15" s="86" customFormat="1" ht="15" x14ac:dyDescent="0.25">
      <c r="A105" s="1277" t="s">
        <v>365</v>
      </c>
      <c r="B105" s="855" t="s">
        <v>837</v>
      </c>
      <c r="C105" s="856">
        <v>483</v>
      </c>
      <c r="D105" s="857">
        <v>63.05</v>
      </c>
      <c r="E105" s="857">
        <v>8.9022062399999999</v>
      </c>
      <c r="F105" s="857">
        <v>63.61</v>
      </c>
      <c r="G105" s="857">
        <v>35.71</v>
      </c>
      <c r="H105" s="857">
        <v>85.98</v>
      </c>
      <c r="I105" s="857"/>
      <c r="J105" s="858">
        <v>513</v>
      </c>
      <c r="K105" s="857">
        <v>61.92</v>
      </c>
      <c r="L105" s="857">
        <v>9.2026444299999994</v>
      </c>
      <c r="M105" s="857">
        <v>61.62</v>
      </c>
      <c r="N105" s="857">
        <v>34.21</v>
      </c>
      <c r="O105" s="710">
        <v>81.77</v>
      </c>
    </row>
    <row r="106" spans="1:15" s="86" customFormat="1" ht="15" x14ac:dyDescent="0.25">
      <c r="A106" s="1278"/>
      <c r="B106" s="87" t="s">
        <v>838</v>
      </c>
      <c r="C106" s="88">
        <v>483</v>
      </c>
      <c r="D106" s="711">
        <v>31.17</v>
      </c>
      <c r="E106" s="711">
        <v>5.4526415999999998</v>
      </c>
      <c r="F106" s="711">
        <v>30.54</v>
      </c>
      <c r="G106" s="711">
        <v>17.760000000000002</v>
      </c>
      <c r="H106" s="711">
        <v>56.63</v>
      </c>
      <c r="I106" s="711"/>
      <c r="J106" s="717">
        <v>512</v>
      </c>
      <c r="K106" s="711">
        <v>33.409999999999997</v>
      </c>
      <c r="L106" s="711">
        <v>7.3303293700000003</v>
      </c>
      <c r="M106" s="711">
        <v>32.47</v>
      </c>
      <c r="N106" s="711">
        <v>17.54</v>
      </c>
      <c r="O106" s="712">
        <v>57.97</v>
      </c>
    </row>
    <row r="107" spans="1:15" s="86" customFormat="1" ht="15" x14ac:dyDescent="0.25">
      <c r="A107" s="1278"/>
      <c r="B107" s="87" t="s">
        <v>839</v>
      </c>
      <c r="C107" s="88">
        <v>483</v>
      </c>
      <c r="D107" s="711">
        <v>97.12</v>
      </c>
      <c r="E107" s="711">
        <v>18.925838670000001</v>
      </c>
      <c r="F107" s="711">
        <v>94.7</v>
      </c>
      <c r="G107" s="711">
        <v>56.7</v>
      </c>
      <c r="H107" s="711">
        <v>209.2</v>
      </c>
      <c r="I107" s="711"/>
      <c r="J107" s="717">
        <v>512</v>
      </c>
      <c r="K107" s="711">
        <v>87.43</v>
      </c>
      <c r="L107" s="711">
        <v>20.272883419999999</v>
      </c>
      <c r="M107" s="711">
        <v>84.1</v>
      </c>
      <c r="N107" s="711">
        <v>40.799999999999997</v>
      </c>
      <c r="O107" s="712">
        <v>164.3</v>
      </c>
    </row>
    <row r="108" spans="1:15" s="86" customFormat="1" ht="15" x14ac:dyDescent="0.25">
      <c r="A108" s="1278"/>
      <c r="B108" s="87" t="s">
        <v>840</v>
      </c>
      <c r="C108" s="88">
        <v>483</v>
      </c>
      <c r="D108" s="711">
        <v>176.4</v>
      </c>
      <c r="E108" s="711">
        <v>6.4874906499999998</v>
      </c>
      <c r="F108" s="711">
        <v>176.1</v>
      </c>
      <c r="G108" s="711">
        <v>157.19999999999999</v>
      </c>
      <c r="H108" s="711">
        <v>202</v>
      </c>
      <c r="I108" s="711"/>
      <c r="J108" s="717">
        <v>513</v>
      </c>
      <c r="K108" s="711">
        <v>161.69999999999999</v>
      </c>
      <c r="L108" s="711">
        <v>5.99115281</v>
      </c>
      <c r="M108" s="711">
        <v>161.4</v>
      </c>
      <c r="N108" s="711">
        <v>144.69999999999999</v>
      </c>
      <c r="O108" s="712">
        <v>181.7</v>
      </c>
    </row>
    <row r="109" spans="1:15" s="86" customFormat="1" ht="15" x14ac:dyDescent="0.25">
      <c r="A109" s="1278"/>
      <c r="B109" s="87" t="s">
        <v>841</v>
      </c>
      <c r="C109" s="88">
        <v>475</v>
      </c>
      <c r="D109" s="711">
        <v>108.8</v>
      </c>
      <c r="E109" s="711">
        <v>13.610340750000001</v>
      </c>
      <c r="F109" s="711">
        <v>107.5</v>
      </c>
      <c r="G109" s="711">
        <v>76</v>
      </c>
      <c r="H109" s="711">
        <v>171</v>
      </c>
      <c r="I109" s="711"/>
      <c r="J109" s="717">
        <v>507</v>
      </c>
      <c r="K109" s="711">
        <v>105.4</v>
      </c>
      <c r="L109" s="711">
        <v>16.824233549999999</v>
      </c>
      <c r="M109" s="711">
        <v>104</v>
      </c>
      <c r="N109" s="711">
        <v>63.5</v>
      </c>
      <c r="O109" s="712">
        <v>160</v>
      </c>
    </row>
    <row r="110" spans="1:15" s="86" customFormat="1" ht="15" x14ac:dyDescent="0.25">
      <c r="A110" s="1278"/>
      <c r="B110" s="87" t="s">
        <v>843</v>
      </c>
      <c r="C110" s="88">
        <v>474</v>
      </c>
      <c r="D110" s="711">
        <v>110.7</v>
      </c>
      <c r="E110" s="711">
        <v>11.03911033</v>
      </c>
      <c r="F110" s="711">
        <v>109</v>
      </c>
      <c r="G110" s="711">
        <v>88</v>
      </c>
      <c r="H110" s="711">
        <v>177</v>
      </c>
      <c r="I110" s="711"/>
      <c r="J110" s="717">
        <v>506</v>
      </c>
      <c r="K110" s="711">
        <v>116.4</v>
      </c>
      <c r="L110" s="711">
        <v>16.004976240000001</v>
      </c>
      <c r="M110" s="711">
        <v>113</v>
      </c>
      <c r="N110" s="711">
        <v>84</v>
      </c>
      <c r="O110" s="712">
        <v>177.5</v>
      </c>
    </row>
    <row r="111" spans="1:15" s="86" customFormat="1" ht="15" x14ac:dyDescent="0.25">
      <c r="A111" s="1279"/>
      <c r="B111" s="89" t="s">
        <v>844</v>
      </c>
      <c r="C111" s="90">
        <v>474</v>
      </c>
      <c r="D111" s="98">
        <v>0.98140000000000005</v>
      </c>
      <c r="E111" s="98">
        <v>6.1204139999999997E-2</v>
      </c>
      <c r="F111" s="98">
        <v>0.97970000000000002</v>
      </c>
      <c r="G111" s="98">
        <v>0.79530000000000001</v>
      </c>
      <c r="H111" s="98">
        <v>1.2363999999999999</v>
      </c>
      <c r="I111" s="98"/>
      <c r="J111" s="718">
        <v>506</v>
      </c>
      <c r="K111" s="98">
        <v>0.90490000000000004</v>
      </c>
      <c r="L111" s="98">
        <v>7.7094399999999993E-2</v>
      </c>
      <c r="M111" s="98">
        <v>0.90329999999999999</v>
      </c>
      <c r="N111" s="98">
        <v>0.70440000000000003</v>
      </c>
      <c r="O111" s="99">
        <v>1.2458</v>
      </c>
    </row>
    <row r="112" spans="1:15" s="86" customFormat="1" ht="15" x14ac:dyDescent="0.25">
      <c r="A112" s="1277" t="s">
        <v>370</v>
      </c>
      <c r="B112" s="87" t="s">
        <v>837</v>
      </c>
      <c r="C112" s="88">
        <v>906</v>
      </c>
      <c r="D112" s="711">
        <v>65.701613549017694</v>
      </c>
      <c r="E112" s="711">
        <v>8.5267514750284903</v>
      </c>
      <c r="F112" s="711">
        <v>67.081451064999996</v>
      </c>
      <c r="G112" s="711">
        <v>31.206023269999999</v>
      </c>
      <c r="H112" s="711">
        <v>88.553045859999997</v>
      </c>
      <c r="I112" s="711"/>
      <c r="J112" s="717">
        <v>599</v>
      </c>
      <c r="K112" s="711">
        <v>65.145875112554293</v>
      </c>
      <c r="L112" s="711">
        <v>9.0983457903528109</v>
      </c>
      <c r="M112" s="711">
        <v>65.993155369999997</v>
      </c>
      <c r="N112" s="711">
        <v>23.786447639999999</v>
      </c>
      <c r="O112" s="712">
        <v>88.563997259999994</v>
      </c>
    </row>
    <row r="113" spans="1:15" s="86" customFormat="1" ht="15" x14ac:dyDescent="0.25">
      <c r="A113" s="1278"/>
      <c r="B113" s="87" t="s">
        <v>838</v>
      </c>
      <c r="C113" s="88">
        <v>906</v>
      </c>
      <c r="D113" s="711">
        <v>31.166793541876402</v>
      </c>
      <c r="E113" s="711">
        <v>5.2103227745476399</v>
      </c>
      <c r="F113" s="711">
        <v>30.514523435000001</v>
      </c>
      <c r="G113" s="711">
        <v>19.619377159999999</v>
      </c>
      <c r="H113" s="711">
        <v>55.23066927</v>
      </c>
      <c r="I113" s="711"/>
      <c r="J113" s="717">
        <v>599</v>
      </c>
      <c r="K113" s="711">
        <v>32.105424231402303</v>
      </c>
      <c r="L113" s="711">
        <v>6.1578439605451196</v>
      </c>
      <c r="M113" s="711">
        <v>31.374376989999998</v>
      </c>
      <c r="N113" s="711">
        <v>17.923875429999999</v>
      </c>
      <c r="O113" s="712">
        <v>55.267915840000001</v>
      </c>
    </row>
    <row r="114" spans="1:15" s="86" customFormat="1" ht="15" x14ac:dyDescent="0.25">
      <c r="A114" s="1278"/>
      <c r="B114" s="87" t="s">
        <v>839</v>
      </c>
      <c r="C114" s="88">
        <v>906</v>
      </c>
      <c r="D114" s="711">
        <v>94.773013245033098</v>
      </c>
      <c r="E114" s="711">
        <v>17.092157022558698</v>
      </c>
      <c r="F114" s="711">
        <v>93.3</v>
      </c>
      <c r="G114" s="711">
        <v>49.6</v>
      </c>
      <c r="H114" s="711">
        <v>161.5</v>
      </c>
      <c r="I114" s="711"/>
      <c r="J114" s="717">
        <v>599</v>
      </c>
      <c r="K114" s="711">
        <v>82.7249749582638</v>
      </c>
      <c r="L114" s="711">
        <v>16.9342649201452</v>
      </c>
      <c r="M114" s="711">
        <v>80.2</v>
      </c>
      <c r="N114" s="711">
        <v>48.62</v>
      </c>
      <c r="O114" s="712">
        <v>154.1</v>
      </c>
    </row>
    <row r="115" spans="1:15" s="86" customFormat="1" ht="15" x14ac:dyDescent="0.25">
      <c r="A115" s="1278"/>
      <c r="B115" s="87" t="s">
        <v>840</v>
      </c>
      <c r="C115" s="88">
        <v>906</v>
      </c>
      <c r="D115" s="711">
        <v>174.28587196468001</v>
      </c>
      <c r="E115" s="711">
        <v>6.3396462910158498</v>
      </c>
      <c r="F115" s="711">
        <v>174</v>
      </c>
      <c r="G115" s="711">
        <v>154</v>
      </c>
      <c r="H115" s="711">
        <v>196</v>
      </c>
      <c r="I115" s="711"/>
      <c r="J115" s="717">
        <v>599</v>
      </c>
      <c r="K115" s="711">
        <v>160.45742904841401</v>
      </c>
      <c r="L115" s="711">
        <v>6.3859514028024096</v>
      </c>
      <c r="M115" s="711">
        <v>161</v>
      </c>
      <c r="N115" s="711">
        <v>140</v>
      </c>
      <c r="O115" s="712">
        <v>183</v>
      </c>
    </row>
    <row r="116" spans="1:15" s="86" customFormat="1" ht="15" x14ac:dyDescent="0.25">
      <c r="A116" s="1278"/>
      <c r="B116" s="87" t="s">
        <v>841</v>
      </c>
      <c r="C116" s="88">
        <v>906</v>
      </c>
      <c r="D116" s="711">
        <v>107.347682119205</v>
      </c>
      <c r="E116" s="711">
        <v>13.2636453299676</v>
      </c>
      <c r="F116" s="711">
        <v>107</v>
      </c>
      <c r="G116" s="711">
        <v>63</v>
      </c>
      <c r="H116" s="711">
        <v>147</v>
      </c>
      <c r="I116" s="711"/>
      <c r="J116" s="717">
        <v>599</v>
      </c>
      <c r="K116" s="711">
        <v>99.616026711185299</v>
      </c>
      <c r="L116" s="711">
        <v>13.948764713385399</v>
      </c>
      <c r="M116" s="711">
        <v>98</v>
      </c>
      <c r="N116" s="711">
        <v>62</v>
      </c>
      <c r="O116" s="712">
        <v>152</v>
      </c>
    </row>
    <row r="117" spans="1:15" s="86" customFormat="1" ht="15" x14ac:dyDescent="0.25">
      <c r="A117" s="1278"/>
      <c r="B117" s="87" t="s">
        <v>843</v>
      </c>
      <c r="C117" s="88">
        <v>906</v>
      </c>
      <c r="D117" s="711">
        <v>106.32229580574</v>
      </c>
      <c r="E117" s="711">
        <v>9.5441914663082592</v>
      </c>
      <c r="F117" s="711">
        <v>105</v>
      </c>
      <c r="G117" s="711">
        <v>81</v>
      </c>
      <c r="H117" s="711">
        <v>143</v>
      </c>
      <c r="I117" s="711"/>
      <c r="J117" s="717">
        <v>599</v>
      </c>
      <c r="K117" s="711">
        <v>110.77295492487499</v>
      </c>
      <c r="L117" s="711">
        <v>12.4733241694328</v>
      </c>
      <c r="M117" s="711">
        <v>109</v>
      </c>
      <c r="N117" s="711">
        <v>81</v>
      </c>
      <c r="O117" s="712">
        <v>155</v>
      </c>
    </row>
    <row r="118" spans="1:15" s="86" customFormat="1" ht="15" x14ac:dyDescent="0.25">
      <c r="A118" s="1279"/>
      <c r="B118" s="89" t="s">
        <v>844</v>
      </c>
      <c r="C118" s="90">
        <v>906</v>
      </c>
      <c r="D118" s="98">
        <v>1.00818936730243</v>
      </c>
      <c r="E118" s="98">
        <v>6.8185007159573596E-2</v>
      </c>
      <c r="F118" s="98">
        <v>1.008733791</v>
      </c>
      <c r="G118" s="98">
        <v>0.61764705900000005</v>
      </c>
      <c r="H118" s="98">
        <v>1.2068965519999999</v>
      </c>
      <c r="I118" s="98"/>
      <c r="J118" s="718">
        <v>599</v>
      </c>
      <c r="K118" s="98">
        <v>0.89894294445242096</v>
      </c>
      <c r="L118" s="98">
        <v>7.3479264935194993E-2</v>
      </c>
      <c r="M118" s="98">
        <v>0.896226415</v>
      </c>
      <c r="N118" s="98">
        <v>0.65131578899999998</v>
      </c>
      <c r="O118" s="99">
        <v>1.2</v>
      </c>
    </row>
    <row r="119" spans="1:15" s="86" customFormat="1" ht="15" x14ac:dyDescent="0.25">
      <c r="A119" s="1277" t="s">
        <v>377</v>
      </c>
      <c r="B119" s="855" t="s">
        <v>837</v>
      </c>
      <c r="C119" s="856">
        <v>137</v>
      </c>
      <c r="D119" s="857">
        <v>56.019199999999998</v>
      </c>
      <c r="E119" s="857">
        <v>7.1010999999999997</v>
      </c>
      <c r="F119" s="857">
        <v>58.74</v>
      </c>
      <c r="G119" s="857">
        <v>41</v>
      </c>
      <c r="H119" s="857">
        <v>65.900000000000006</v>
      </c>
      <c r="I119" s="857"/>
      <c r="J119" s="858">
        <v>282</v>
      </c>
      <c r="K119" s="857">
        <v>54.940800000000003</v>
      </c>
      <c r="L119" s="857">
        <v>6.9885000000000002</v>
      </c>
      <c r="M119" s="857">
        <v>55.96</v>
      </c>
      <c r="N119" s="857">
        <v>39.47</v>
      </c>
      <c r="O119" s="710">
        <v>67.91</v>
      </c>
    </row>
    <row r="120" spans="1:15" s="86" customFormat="1" ht="15" x14ac:dyDescent="0.25">
      <c r="A120" s="1278"/>
      <c r="B120" s="87" t="s">
        <v>838</v>
      </c>
      <c r="C120" s="88">
        <v>137</v>
      </c>
      <c r="D120" s="711">
        <v>29.798100000000002</v>
      </c>
      <c r="E120" s="711">
        <v>3.3986000000000001</v>
      </c>
      <c r="F120" s="711">
        <v>29.45</v>
      </c>
      <c r="G120" s="711">
        <v>23.5</v>
      </c>
      <c r="H120" s="711">
        <v>44.8</v>
      </c>
      <c r="I120" s="711"/>
      <c r="J120" s="717">
        <v>282</v>
      </c>
      <c r="K120" s="711">
        <v>32.134799999999998</v>
      </c>
      <c r="L120" s="711">
        <v>4.9477000000000002</v>
      </c>
      <c r="M120" s="711">
        <v>31.48</v>
      </c>
      <c r="N120" s="711">
        <v>23.99</v>
      </c>
      <c r="O120" s="712">
        <v>50.5</v>
      </c>
    </row>
    <row r="121" spans="1:15" s="86" customFormat="1" ht="15" x14ac:dyDescent="0.25">
      <c r="A121" s="1278"/>
      <c r="B121" s="87" t="s">
        <v>839</v>
      </c>
      <c r="C121" s="88">
        <v>137</v>
      </c>
      <c r="D121" s="711">
        <v>91.455500000000001</v>
      </c>
      <c r="E121" s="711">
        <v>12.3779</v>
      </c>
      <c r="F121" s="711">
        <v>89.5</v>
      </c>
      <c r="G121" s="711">
        <v>62.9</v>
      </c>
      <c r="H121" s="711">
        <v>148.1</v>
      </c>
      <c r="I121" s="711"/>
      <c r="J121" s="717">
        <v>282</v>
      </c>
      <c r="K121" s="711">
        <v>84.387600000000006</v>
      </c>
      <c r="L121" s="711">
        <v>14.402799999999999</v>
      </c>
      <c r="M121" s="711">
        <v>82.2</v>
      </c>
      <c r="N121" s="711">
        <v>52.9</v>
      </c>
      <c r="O121" s="712">
        <v>136.5</v>
      </c>
    </row>
    <row r="122" spans="1:15" s="86" customFormat="1" ht="15" x14ac:dyDescent="0.25">
      <c r="A122" s="1278"/>
      <c r="B122" s="87" t="s">
        <v>840</v>
      </c>
      <c r="C122" s="88">
        <v>137</v>
      </c>
      <c r="D122" s="711">
        <v>175.08029999999999</v>
      </c>
      <c r="E122" s="711">
        <v>6.2816000000000001</v>
      </c>
      <c r="F122" s="711">
        <v>175.8</v>
      </c>
      <c r="G122" s="711">
        <v>155.5</v>
      </c>
      <c r="H122" s="711">
        <v>189.7</v>
      </c>
      <c r="I122" s="711"/>
      <c r="J122" s="717">
        <v>282</v>
      </c>
      <c r="K122" s="711">
        <v>161.93870000000001</v>
      </c>
      <c r="L122" s="711">
        <v>5.8545999999999996</v>
      </c>
      <c r="M122" s="711">
        <v>161.94999999999999</v>
      </c>
      <c r="N122" s="711">
        <v>145</v>
      </c>
      <c r="O122" s="712">
        <v>177.5</v>
      </c>
    </row>
    <row r="123" spans="1:15" s="86" customFormat="1" ht="15" x14ac:dyDescent="0.25">
      <c r="A123" s="1278"/>
      <c r="B123" s="87" t="s">
        <v>841</v>
      </c>
      <c r="C123" s="88">
        <v>137</v>
      </c>
      <c r="D123" s="711">
        <v>103.72629999999999</v>
      </c>
      <c r="E123" s="711">
        <v>9.6867000000000001</v>
      </c>
      <c r="F123" s="711">
        <v>103</v>
      </c>
      <c r="G123" s="711">
        <v>83.5</v>
      </c>
      <c r="H123" s="711">
        <v>139</v>
      </c>
      <c r="I123" s="711"/>
      <c r="J123" s="717">
        <v>282</v>
      </c>
      <c r="K123" s="711">
        <v>100.15179999999999</v>
      </c>
      <c r="L123" s="711">
        <v>11.527900000000001</v>
      </c>
      <c r="M123" s="711">
        <v>99</v>
      </c>
      <c r="N123" s="711">
        <v>75.5</v>
      </c>
      <c r="O123" s="712">
        <v>139</v>
      </c>
    </row>
    <row r="124" spans="1:15" s="86" customFormat="1" ht="15" x14ac:dyDescent="0.25">
      <c r="A124" s="1278"/>
      <c r="B124" s="87" t="s">
        <v>843</v>
      </c>
      <c r="C124" s="88">
        <v>137</v>
      </c>
      <c r="D124" s="711">
        <v>105.2496</v>
      </c>
      <c r="E124" s="711">
        <v>7.5354000000000001</v>
      </c>
      <c r="F124" s="711">
        <v>105</v>
      </c>
      <c r="G124" s="711">
        <v>88</v>
      </c>
      <c r="H124" s="711">
        <v>143.5</v>
      </c>
      <c r="I124" s="711"/>
      <c r="J124" s="717">
        <v>282</v>
      </c>
      <c r="K124" s="711">
        <v>112.9688</v>
      </c>
      <c r="L124" s="711">
        <v>10.871600000000001</v>
      </c>
      <c r="M124" s="711">
        <v>111.75</v>
      </c>
      <c r="N124" s="711">
        <v>90.3</v>
      </c>
      <c r="O124" s="712">
        <v>161</v>
      </c>
    </row>
    <row r="125" spans="1:15" s="86" customFormat="1" ht="15" x14ac:dyDescent="0.25">
      <c r="A125" s="1279"/>
      <c r="B125" s="89" t="s">
        <v>844</v>
      </c>
      <c r="C125" s="90">
        <v>137</v>
      </c>
      <c r="D125" s="98">
        <v>0.98480000000000001</v>
      </c>
      <c r="E125" s="98">
        <v>4.8899999999999999E-2</v>
      </c>
      <c r="F125" s="98">
        <v>0.98</v>
      </c>
      <c r="G125" s="98">
        <v>0.86</v>
      </c>
      <c r="H125" s="98">
        <v>1.0900000000000001</v>
      </c>
      <c r="I125" s="98"/>
      <c r="J125" s="718">
        <v>282</v>
      </c>
      <c r="K125" s="98">
        <v>0.88690000000000002</v>
      </c>
      <c r="L125" s="98">
        <v>6.1400000000000003E-2</v>
      </c>
      <c r="M125" s="98">
        <v>0.89</v>
      </c>
      <c r="N125" s="98">
        <v>0.72</v>
      </c>
      <c r="O125" s="99">
        <v>1.06</v>
      </c>
    </row>
    <row r="126" spans="1:15" s="86" customFormat="1" ht="15" x14ac:dyDescent="0.25">
      <c r="A126" s="1277" t="s">
        <v>382</v>
      </c>
      <c r="B126" s="855" t="s">
        <v>837</v>
      </c>
      <c r="C126" s="856">
        <v>221</v>
      </c>
      <c r="D126" s="857">
        <v>68.029899999999998</v>
      </c>
      <c r="E126" s="857">
        <v>6.2938000000000001</v>
      </c>
      <c r="F126" s="857">
        <v>68.224500000000006</v>
      </c>
      <c r="G126" s="857">
        <v>57.807000000000002</v>
      </c>
      <c r="H126" s="857">
        <v>78.461299999999994</v>
      </c>
      <c r="I126" s="857"/>
      <c r="J126" s="858">
        <v>518</v>
      </c>
      <c r="K126" s="857">
        <v>66.406400000000005</v>
      </c>
      <c r="L126" s="857">
        <v>5.2545000000000002</v>
      </c>
      <c r="M126" s="857">
        <v>66.203999999999994</v>
      </c>
      <c r="N126" s="857">
        <v>57.853499999999997</v>
      </c>
      <c r="O126" s="710">
        <v>78.702299999999994</v>
      </c>
    </row>
    <row r="127" spans="1:15" s="86" customFormat="1" ht="15" x14ac:dyDescent="0.25">
      <c r="A127" s="1278"/>
      <c r="B127" s="87" t="s">
        <v>838</v>
      </c>
      <c r="C127" s="88">
        <v>221</v>
      </c>
      <c r="D127" s="711">
        <v>27.5932</v>
      </c>
      <c r="E127" s="711">
        <v>3.9338000000000002</v>
      </c>
      <c r="F127" s="711">
        <v>26.8827</v>
      </c>
      <c r="G127" s="711">
        <v>20.332999999999998</v>
      </c>
      <c r="H127" s="711">
        <v>41.228499999999997</v>
      </c>
      <c r="I127" s="711"/>
      <c r="J127" s="717">
        <v>518</v>
      </c>
      <c r="K127" s="711">
        <v>27.614799999999999</v>
      </c>
      <c r="L127" s="711">
        <v>4.9180000000000001</v>
      </c>
      <c r="M127" s="711">
        <v>26.786300000000001</v>
      </c>
      <c r="N127" s="711">
        <v>17.9695</v>
      </c>
      <c r="O127" s="712">
        <v>48.573799999999999</v>
      </c>
    </row>
    <row r="128" spans="1:15" s="86" customFormat="1" ht="15" x14ac:dyDescent="0.25">
      <c r="A128" s="1278"/>
      <c r="B128" s="87" t="s">
        <v>839</v>
      </c>
      <c r="C128" s="88">
        <v>221</v>
      </c>
      <c r="D128" s="711">
        <v>83.167900000000003</v>
      </c>
      <c r="E128" s="711">
        <v>13.702999999999999</v>
      </c>
      <c r="F128" s="711">
        <v>81</v>
      </c>
      <c r="G128" s="711">
        <v>52.8</v>
      </c>
      <c r="H128" s="711">
        <v>135.9</v>
      </c>
      <c r="I128" s="711"/>
      <c r="J128" s="717">
        <v>518</v>
      </c>
      <c r="K128" s="711">
        <v>70.641900000000007</v>
      </c>
      <c r="L128" s="711">
        <v>13.070399999999999</v>
      </c>
      <c r="M128" s="711">
        <v>69.150000000000006</v>
      </c>
      <c r="N128" s="711">
        <v>41.9</v>
      </c>
      <c r="O128" s="712">
        <v>143.19999999999999</v>
      </c>
    </row>
    <row r="129" spans="1:15" s="86" customFormat="1" ht="15" x14ac:dyDescent="0.25">
      <c r="A129" s="1278"/>
      <c r="B129" s="87" t="s">
        <v>840</v>
      </c>
      <c r="C129" s="88">
        <v>221</v>
      </c>
      <c r="D129" s="711">
        <v>173.43530000000001</v>
      </c>
      <c r="E129" s="711">
        <v>6.1532999999999998</v>
      </c>
      <c r="F129" s="711">
        <v>173.5</v>
      </c>
      <c r="G129" s="711">
        <v>157.19999999999999</v>
      </c>
      <c r="H129" s="711">
        <v>192.8</v>
      </c>
      <c r="I129" s="711"/>
      <c r="J129" s="717">
        <v>518</v>
      </c>
      <c r="K129" s="711">
        <v>159.9502</v>
      </c>
      <c r="L129" s="711">
        <v>5.8788999999999998</v>
      </c>
      <c r="M129" s="711">
        <v>159.80000000000001</v>
      </c>
      <c r="N129" s="711">
        <v>142</v>
      </c>
      <c r="O129" s="712">
        <v>178</v>
      </c>
    </row>
    <row r="130" spans="1:15" s="86" customFormat="1" ht="15" x14ac:dyDescent="0.25">
      <c r="A130" s="1278"/>
      <c r="B130" s="87" t="s">
        <v>841</v>
      </c>
      <c r="C130" s="88">
        <v>221</v>
      </c>
      <c r="D130" s="711">
        <v>98.9876</v>
      </c>
      <c r="E130" s="711">
        <v>11.3712</v>
      </c>
      <c r="F130" s="711">
        <v>97</v>
      </c>
      <c r="G130" s="711">
        <v>77</v>
      </c>
      <c r="H130" s="711">
        <v>133.75</v>
      </c>
      <c r="I130" s="711"/>
      <c r="J130" s="717">
        <v>518</v>
      </c>
      <c r="K130" s="711">
        <v>88.917599999999993</v>
      </c>
      <c r="L130" s="711">
        <v>12.836600000000001</v>
      </c>
      <c r="M130" s="711">
        <v>87.375</v>
      </c>
      <c r="N130" s="711">
        <v>59.5</v>
      </c>
      <c r="O130" s="712">
        <v>132.5</v>
      </c>
    </row>
    <row r="131" spans="1:15" s="86" customFormat="1" ht="15" x14ac:dyDescent="0.25">
      <c r="A131" s="1278"/>
      <c r="B131" s="87" t="s">
        <v>843</v>
      </c>
      <c r="C131" s="88">
        <v>221</v>
      </c>
      <c r="D131" s="711">
        <v>99.985299999999995</v>
      </c>
      <c r="E131" s="711">
        <v>7.9282000000000004</v>
      </c>
      <c r="F131" s="711">
        <v>99</v>
      </c>
      <c r="G131" s="711">
        <v>79</v>
      </c>
      <c r="H131" s="711">
        <v>132.25</v>
      </c>
      <c r="I131" s="711"/>
      <c r="J131" s="717">
        <v>518</v>
      </c>
      <c r="K131" s="711">
        <v>102.0565</v>
      </c>
      <c r="L131" s="711">
        <v>9.9246999999999996</v>
      </c>
      <c r="M131" s="711">
        <v>101</v>
      </c>
      <c r="N131" s="711">
        <v>78.5</v>
      </c>
      <c r="O131" s="712">
        <v>145</v>
      </c>
    </row>
    <row r="132" spans="1:15" s="86" customFormat="1" ht="15" x14ac:dyDescent="0.25">
      <c r="A132" s="1279"/>
      <c r="B132" s="89" t="s">
        <v>844</v>
      </c>
      <c r="C132" s="90">
        <v>221</v>
      </c>
      <c r="D132" s="98">
        <v>0.98819999999999997</v>
      </c>
      <c r="E132" s="98">
        <v>5.5500000000000001E-2</v>
      </c>
      <c r="F132" s="98">
        <v>0.98880000000000001</v>
      </c>
      <c r="G132" s="98">
        <v>0.83699999999999997</v>
      </c>
      <c r="H132" s="98">
        <v>1.1233</v>
      </c>
      <c r="I132" s="98"/>
      <c r="J132" s="718">
        <v>518</v>
      </c>
      <c r="K132" s="98">
        <v>0.86880000000000002</v>
      </c>
      <c r="L132" s="98">
        <v>6.5100000000000005E-2</v>
      </c>
      <c r="M132" s="98">
        <v>0.86850000000000005</v>
      </c>
      <c r="N132" s="98">
        <v>0.70220000000000005</v>
      </c>
      <c r="O132" s="99">
        <v>1.08</v>
      </c>
    </row>
    <row r="133" spans="1:15" s="86" customFormat="1" ht="15" x14ac:dyDescent="0.25">
      <c r="A133" s="1277" t="s">
        <v>385</v>
      </c>
      <c r="B133" s="855" t="s">
        <v>837</v>
      </c>
      <c r="C133" s="856">
        <v>726</v>
      </c>
      <c r="D133" s="857">
        <v>32.869999999999997</v>
      </c>
      <c r="E133" s="857">
        <v>5.91</v>
      </c>
      <c r="F133" s="857">
        <v>32</v>
      </c>
      <c r="G133" s="857">
        <v>17</v>
      </c>
      <c r="H133" s="857">
        <v>61</v>
      </c>
      <c r="I133" s="857"/>
      <c r="J133" s="858">
        <v>794</v>
      </c>
      <c r="K133" s="857">
        <v>30.41</v>
      </c>
      <c r="L133" s="857">
        <v>5.32</v>
      </c>
      <c r="M133" s="857">
        <v>31</v>
      </c>
      <c r="N133" s="857">
        <v>17</v>
      </c>
      <c r="O133" s="710">
        <v>45</v>
      </c>
    </row>
    <row r="134" spans="1:15" s="86" customFormat="1" ht="15" x14ac:dyDescent="0.25">
      <c r="A134" s="1278"/>
      <c r="B134" s="87" t="s">
        <v>838</v>
      </c>
      <c r="C134" s="88">
        <v>723</v>
      </c>
      <c r="D134" s="711">
        <v>26.6</v>
      </c>
      <c r="E134" s="711">
        <v>3.85</v>
      </c>
      <c r="F134" s="711">
        <v>26</v>
      </c>
      <c r="G134" s="711">
        <v>17</v>
      </c>
      <c r="H134" s="711">
        <v>48</v>
      </c>
      <c r="I134" s="711"/>
      <c r="J134" s="717">
        <v>457</v>
      </c>
      <c r="K134" s="711">
        <v>25.03</v>
      </c>
      <c r="L134" s="711">
        <v>4.62</v>
      </c>
      <c r="M134" s="711">
        <v>24</v>
      </c>
      <c r="N134" s="711">
        <v>17</v>
      </c>
      <c r="O134" s="712">
        <v>45</v>
      </c>
    </row>
    <row r="135" spans="1:15" s="86" customFormat="1" ht="15" x14ac:dyDescent="0.25">
      <c r="A135" s="1278"/>
      <c r="B135" s="87" t="s">
        <v>840</v>
      </c>
      <c r="C135" s="88">
        <v>726</v>
      </c>
      <c r="D135" s="711">
        <v>1.7771999999999999</v>
      </c>
      <c r="E135" s="711">
        <v>0.06</v>
      </c>
      <c r="F135" s="711">
        <v>1.78</v>
      </c>
      <c r="G135" s="711">
        <v>1.61</v>
      </c>
      <c r="H135" s="711">
        <v>1.97</v>
      </c>
      <c r="I135" s="711"/>
      <c r="J135" s="717">
        <v>794</v>
      </c>
      <c r="K135" s="711">
        <v>1.6503000000000001</v>
      </c>
      <c r="L135" s="711">
        <v>5.8099999999999999E-2</v>
      </c>
      <c r="M135" s="711">
        <v>1.6479999999999999</v>
      </c>
      <c r="N135" s="711">
        <v>1.4590000000000001</v>
      </c>
      <c r="O135" s="712">
        <v>1.827</v>
      </c>
    </row>
    <row r="136" spans="1:15" s="86" customFormat="1" ht="15" x14ac:dyDescent="0.25">
      <c r="A136" s="1279"/>
      <c r="B136" s="89" t="s">
        <v>844</v>
      </c>
      <c r="C136" s="90">
        <v>719</v>
      </c>
      <c r="D136" s="98">
        <v>0.88380000000000003</v>
      </c>
      <c r="E136" s="98">
        <v>6.3700000000000007E-2</v>
      </c>
      <c r="F136" s="98">
        <v>0.88</v>
      </c>
      <c r="G136" s="98">
        <v>0.73</v>
      </c>
      <c r="H136" s="98">
        <v>1.2</v>
      </c>
      <c r="I136" s="98"/>
      <c r="J136" s="718">
        <v>456</v>
      </c>
      <c r="K136" s="98">
        <v>0.8105</v>
      </c>
      <c r="L136" s="98">
        <v>5.8900000000000001E-2</v>
      </c>
      <c r="M136" s="98">
        <v>0.8</v>
      </c>
      <c r="N136" s="98">
        <v>0.68</v>
      </c>
      <c r="O136" s="99">
        <v>1.1000000000000001</v>
      </c>
    </row>
    <row r="137" spans="1:15" s="86" customFormat="1" ht="15" x14ac:dyDescent="0.25">
      <c r="A137" s="1277" t="s">
        <v>389</v>
      </c>
      <c r="B137" s="855" t="s">
        <v>837</v>
      </c>
      <c r="C137" s="856">
        <v>1645</v>
      </c>
      <c r="D137" s="857">
        <v>45.41</v>
      </c>
      <c r="E137" s="857">
        <v>16.5</v>
      </c>
      <c r="F137" s="857">
        <v>45</v>
      </c>
      <c r="G137" s="857">
        <v>18</v>
      </c>
      <c r="H137" s="857">
        <v>87</v>
      </c>
      <c r="I137" s="857"/>
      <c r="J137" s="858">
        <v>1865</v>
      </c>
      <c r="K137" s="857">
        <v>44.93</v>
      </c>
      <c r="L137" s="857">
        <v>16.059999999999999</v>
      </c>
      <c r="M137" s="857">
        <v>44</v>
      </c>
      <c r="N137" s="857">
        <v>18</v>
      </c>
      <c r="O137" s="710">
        <v>101</v>
      </c>
    </row>
    <row r="138" spans="1:15" s="86" customFormat="1" ht="15" x14ac:dyDescent="0.25">
      <c r="A138" s="1278"/>
      <c r="B138" s="87" t="s">
        <v>838</v>
      </c>
      <c r="C138" s="88">
        <v>1645</v>
      </c>
      <c r="D138" s="711">
        <v>27.69</v>
      </c>
      <c r="E138" s="711">
        <v>7.31</v>
      </c>
      <c r="F138" s="711">
        <v>26.26</v>
      </c>
      <c r="G138" s="711">
        <v>15.02</v>
      </c>
      <c r="H138" s="711">
        <v>64.16</v>
      </c>
      <c r="I138" s="711"/>
      <c r="J138" s="717">
        <v>1865</v>
      </c>
      <c r="K138" s="711">
        <v>26.63</v>
      </c>
      <c r="L138" s="711">
        <v>9.02</v>
      </c>
      <c r="M138" s="711">
        <v>25.1</v>
      </c>
      <c r="N138" s="711">
        <v>14.88</v>
      </c>
      <c r="O138" s="712">
        <v>60.08</v>
      </c>
    </row>
    <row r="139" spans="1:15" s="86" customFormat="1" ht="15" x14ac:dyDescent="0.25">
      <c r="A139" s="1278"/>
      <c r="B139" s="87" t="s">
        <v>839</v>
      </c>
      <c r="C139" s="88">
        <v>1645</v>
      </c>
      <c r="D139" s="711">
        <v>88.53</v>
      </c>
      <c r="E139" s="711">
        <v>24.93</v>
      </c>
      <c r="F139" s="711">
        <v>85</v>
      </c>
      <c r="G139" s="711">
        <v>45</v>
      </c>
      <c r="H139" s="711">
        <v>222</v>
      </c>
      <c r="I139" s="711"/>
      <c r="J139" s="717">
        <v>1865</v>
      </c>
      <c r="K139" s="711">
        <v>75.12</v>
      </c>
      <c r="L139" s="711">
        <v>24.65</v>
      </c>
      <c r="M139" s="711">
        <v>70</v>
      </c>
      <c r="N139" s="711">
        <v>37</v>
      </c>
      <c r="O139" s="712">
        <v>170</v>
      </c>
    </row>
    <row r="140" spans="1:15" s="86" customFormat="1" ht="15" x14ac:dyDescent="0.25">
      <c r="A140" s="1278"/>
      <c r="B140" s="87" t="s">
        <v>840</v>
      </c>
      <c r="C140" s="88">
        <v>1645</v>
      </c>
      <c r="D140" s="711">
        <v>178.62</v>
      </c>
      <c r="E140" s="711">
        <v>10.47</v>
      </c>
      <c r="F140" s="711">
        <v>178</v>
      </c>
      <c r="G140" s="711">
        <v>142</v>
      </c>
      <c r="H140" s="711">
        <v>207</v>
      </c>
      <c r="I140" s="711"/>
      <c r="J140" s="717">
        <v>1865</v>
      </c>
      <c r="K140" s="711">
        <v>165.07</v>
      </c>
      <c r="L140" s="711">
        <v>9.7899999999999991</v>
      </c>
      <c r="M140" s="711">
        <v>164</v>
      </c>
      <c r="N140" s="711">
        <v>135</v>
      </c>
      <c r="O140" s="712">
        <v>198</v>
      </c>
    </row>
    <row r="141" spans="1:15" s="86" customFormat="1" ht="15" x14ac:dyDescent="0.25">
      <c r="A141" s="1278"/>
      <c r="B141" s="87" t="s">
        <v>841</v>
      </c>
      <c r="C141" s="88">
        <v>1317</v>
      </c>
      <c r="D141" s="711">
        <v>96.71</v>
      </c>
      <c r="E141" s="711">
        <v>18.47</v>
      </c>
      <c r="F141" s="711">
        <v>94</v>
      </c>
      <c r="G141" s="711">
        <v>59</v>
      </c>
      <c r="H141" s="711">
        <v>165</v>
      </c>
      <c r="I141" s="711"/>
      <c r="J141" s="717">
        <v>1511</v>
      </c>
      <c r="K141" s="711">
        <v>86.61</v>
      </c>
      <c r="L141" s="711">
        <v>19.18</v>
      </c>
      <c r="M141" s="711">
        <v>82</v>
      </c>
      <c r="N141" s="711">
        <v>52</v>
      </c>
      <c r="O141" s="712">
        <v>167</v>
      </c>
    </row>
    <row r="142" spans="1:15" s="86" customFormat="1" ht="15" x14ac:dyDescent="0.25">
      <c r="A142" s="1278"/>
      <c r="B142" s="87" t="s">
        <v>843</v>
      </c>
      <c r="C142" s="88">
        <v>1317</v>
      </c>
      <c r="D142" s="711">
        <v>104.19</v>
      </c>
      <c r="E142" s="711">
        <v>13.52</v>
      </c>
      <c r="F142" s="711">
        <v>102</v>
      </c>
      <c r="G142" s="711">
        <v>60</v>
      </c>
      <c r="H142" s="711">
        <v>170</v>
      </c>
      <c r="I142" s="711"/>
      <c r="J142" s="717">
        <v>1511</v>
      </c>
      <c r="K142" s="711">
        <v>106.4</v>
      </c>
      <c r="L142" s="711">
        <v>17.11</v>
      </c>
      <c r="M142" s="711">
        <v>102</v>
      </c>
      <c r="N142" s="711">
        <v>64</v>
      </c>
      <c r="O142" s="712">
        <v>167</v>
      </c>
    </row>
    <row r="143" spans="1:15" s="86" customFormat="1" ht="15" x14ac:dyDescent="0.25">
      <c r="A143" s="1279"/>
      <c r="B143" s="87" t="s">
        <v>844</v>
      </c>
      <c r="C143" s="88">
        <v>1317</v>
      </c>
      <c r="D143" s="711">
        <v>0.92</v>
      </c>
      <c r="E143" s="711">
        <v>0.09</v>
      </c>
      <c r="F143" s="711">
        <v>0.91</v>
      </c>
      <c r="G143" s="711">
        <v>0.68</v>
      </c>
      <c r="H143" s="711">
        <v>1.41</v>
      </c>
      <c r="I143" s="711"/>
      <c r="J143" s="717">
        <v>1511</v>
      </c>
      <c r="K143" s="711">
        <v>0.8</v>
      </c>
      <c r="L143" s="711">
        <v>0.08</v>
      </c>
      <c r="M143" s="711">
        <v>0.8</v>
      </c>
      <c r="N143" s="711">
        <v>0.5</v>
      </c>
      <c r="O143" s="712">
        <v>1.2</v>
      </c>
    </row>
    <row r="144" spans="1:15" s="86" customFormat="1" ht="15" x14ac:dyDescent="0.25">
      <c r="A144" s="1277" t="s">
        <v>735</v>
      </c>
      <c r="B144" s="855" t="s">
        <v>837</v>
      </c>
      <c r="C144" s="856">
        <v>7625</v>
      </c>
      <c r="D144" s="857">
        <v>56.4</v>
      </c>
      <c r="E144" s="857">
        <v>9.73</v>
      </c>
      <c r="F144" s="857">
        <v>56.79</v>
      </c>
      <c r="G144" s="857">
        <v>21.17</v>
      </c>
      <c r="H144" s="857">
        <v>82.86</v>
      </c>
      <c r="I144" s="857"/>
      <c r="J144" s="858">
        <v>9489</v>
      </c>
      <c r="K144" s="857">
        <v>55.21</v>
      </c>
      <c r="L144" s="857">
        <v>9.99</v>
      </c>
      <c r="M144" s="857">
        <v>55.42</v>
      </c>
      <c r="N144" s="857">
        <v>20.350000000000001</v>
      </c>
      <c r="O144" s="710">
        <v>81.94</v>
      </c>
    </row>
    <row r="145" spans="1:15" s="86" customFormat="1" ht="15" x14ac:dyDescent="0.25">
      <c r="A145" s="1278"/>
      <c r="B145" s="87" t="s">
        <v>838</v>
      </c>
      <c r="C145" s="88">
        <v>7625</v>
      </c>
      <c r="D145" s="711">
        <v>27.12</v>
      </c>
      <c r="E145" s="711">
        <v>3.75</v>
      </c>
      <c r="F145" s="711">
        <v>26.85</v>
      </c>
      <c r="G145" s="711">
        <v>16.329999999999998</v>
      </c>
      <c r="H145" s="711">
        <v>53.24</v>
      </c>
      <c r="I145" s="711"/>
      <c r="J145" s="717">
        <v>9489</v>
      </c>
      <c r="K145" s="711">
        <v>26.51</v>
      </c>
      <c r="L145" s="711">
        <v>4.82</v>
      </c>
      <c r="M145" s="711">
        <v>25.76</v>
      </c>
      <c r="N145" s="711">
        <v>15.6</v>
      </c>
      <c r="O145" s="712">
        <v>62.03</v>
      </c>
    </row>
    <row r="146" spans="1:15" s="86" customFormat="1" ht="15" x14ac:dyDescent="0.25">
      <c r="A146" s="1278"/>
      <c r="B146" s="87" t="s">
        <v>839</v>
      </c>
      <c r="C146" s="88">
        <v>7625</v>
      </c>
      <c r="D146" s="711">
        <v>80.849999999999994</v>
      </c>
      <c r="E146" s="711">
        <v>12.08</v>
      </c>
      <c r="F146" s="711">
        <v>80</v>
      </c>
      <c r="G146" s="711">
        <v>41.8</v>
      </c>
      <c r="H146" s="711">
        <v>153</v>
      </c>
      <c r="I146" s="711"/>
      <c r="J146" s="717">
        <v>9489</v>
      </c>
      <c r="K146" s="711">
        <v>68.09</v>
      </c>
      <c r="L146" s="711">
        <v>12.18</v>
      </c>
      <c r="M146" s="711">
        <v>66.400000000000006</v>
      </c>
      <c r="N146" s="711">
        <v>39.299999999999997</v>
      </c>
      <c r="O146" s="712">
        <v>160.80000000000001</v>
      </c>
    </row>
    <row r="147" spans="1:15" s="86" customFormat="1" ht="15" x14ac:dyDescent="0.25">
      <c r="A147" s="1278"/>
      <c r="B147" s="87" t="s">
        <v>840</v>
      </c>
      <c r="C147" s="88">
        <v>7625</v>
      </c>
      <c r="D147" s="711">
        <v>172.67</v>
      </c>
      <c r="E147" s="711">
        <v>7.27</v>
      </c>
      <c r="F147" s="711">
        <v>173</v>
      </c>
      <c r="G147" s="711">
        <v>138</v>
      </c>
      <c r="H147" s="711">
        <v>198</v>
      </c>
      <c r="I147" s="711"/>
      <c r="J147" s="717">
        <v>9489</v>
      </c>
      <c r="K147" s="711">
        <v>160.44999999999999</v>
      </c>
      <c r="L147" s="711">
        <v>6.86</v>
      </c>
      <c r="M147" s="711">
        <v>160</v>
      </c>
      <c r="N147" s="711">
        <v>136</v>
      </c>
      <c r="O147" s="712">
        <v>189</v>
      </c>
    </row>
    <row r="148" spans="1:15" s="86" customFormat="1" ht="15" x14ac:dyDescent="0.25">
      <c r="A148" s="1279"/>
      <c r="B148" s="89" t="s">
        <v>844</v>
      </c>
      <c r="C148" s="90">
        <v>7625</v>
      </c>
      <c r="D148" s="98">
        <v>0.95</v>
      </c>
      <c r="E148" s="98">
        <v>0.06</v>
      </c>
      <c r="F148" s="98">
        <v>0.95</v>
      </c>
      <c r="G148" s="98">
        <v>0.51</v>
      </c>
      <c r="H148" s="98">
        <v>1.67</v>
      </c>
      <c r="I148" s="98"/>
      <c r="J148" s="718">
        <v>9489</v>
      </c>
      <c r="K148" s="98">
        <v>0.81</v>
      </c>
      <c r="L148" s="98">
        <v>7.0000000000000007E-2</v>
      </c>
      <c r="M148" s="98">
        <v>0.8</v>
      </c>
      <c r="N148" s="98">
        <v>0.51</v>
      </c>
      <c r="O148" s="99">
        <v>1.34</v>
      </c>
    </row>
    <row r="149" spans="1:15" s="86" customFormat="1" ht="15" x14ac:dyDescent="0.25">
      <c r="A149" s="1277" t="s">
        <v>401</v>
      </c>
      <c r="B149" s="855" t="s">
        <v>837</v>
      </c>
      <c r="C149" s="856">
        <v>953</v>
      </c>
      <c r="D149" s="857">
        <v>52.371471499999998</v>
      </c>
      <c r="E149" s="857">
        <v>8.0905556000000001</v>
      </c>
      <c r="F149" s="857">
        <v>52.865160799999998</v>
      </c>
      <c r="G149" s="857">
        <v>24.906228599999999</v>
      </c>
      <c r="H149" s="857">
        <v>69.409993200000002</v>
      </c>
      <c r="I149" s="857"/>
      <c r="J149" s="858">
        <v>1496</v>
      </c>
      <c r="K149" s="857">
        <v>48.970633999999997</v>
      </c>
      <c r="L149" s="857">
        <v>9.2575777000000006</v>
      </c>
      <c r="M149" s="857">
        <v>48.038329900000001</v>
      </c>
      <c r="N149" s="857">
        <v>20.1752225</v>
      </c>
      <c r="O149" s="710">
        <v>66.283367600000005</v>
      </c>
    </row>
    <row r="150" spans="1:15" s="86" customFormat="1" ht="15" x14ac:dyDescent="0.25">
      <c r="A150" s="1278"/>
      <c r="B150" s="87" t="s">
        <v>838</v>
      </c>
      <c r="C150" s="88">
        <v>953</v>
      </c>
      <c r="D150" s="711">
        <v>26.792419800000001</v>
      </c>
      <c r="E150" s="711">
        <v>3.5802355000000001</v>
      </c>
      <c r="F150" s="711">
        <v>26.5469388</v>
      </c>
      <c r="G150" s="711">
        <v>16.379843000000001</v>
      </c>
      <c r="H150" s="711">
        <v>55.401662000000002</v>
      </c>
      <c r="I150" s="711"/>
      <c r="J150" s="717">
        <v>1496</v>
      </c>
      <c r="K150" s="711">
        <v>25.6949769</v>
      </c>
      <c r="L150" s="711">
        <v>4.6492757999999998</v>
      </c>
      <c r="M150" s="711">
        <v>24.7651261</v>
      </c>
      <c r="N150" s="711">
        <v>17.246140499999999</v>
      </c>
      <c r="O150" s="712">
        <v>54.776274700000002</v>
      </c>
    </row>
    <row r="151" spans="1:15" s="86" customFormat="1" ht="15" x14ac:dyDescent="0.25">
      <c r="A151" s="1278"/>
      <c r="B151" s="87" t="s">
        <v>839</v>
      </c>
      <c r="C151" s="88">
        <v>953</v>
      </c>
      <c r="D151" s="711">
        <v>81.828436400000001</v>
      </c>
      <c r="E151" s="711">
        <v>11.8108366</v>
      </c>
      <c r="F151" s="711">
        <v>80.899999899999997</v>
      </c>
      <c r="G151" s="711">
        <v>49.199999900000002</v>
      </c>
      <c r="H151" s="711">
        <v>162</v>
      </c>
      <c r="I151" s="711"/>
      <c r="J151" s="717">
        <v>1496</v>
      </c>
      <c r="K151" s="711">
        <v>68.283154999999994</v>
      </c>
      <c r="L151" s="711">
        <v>12.8534449</v>
      </c>
      <c r="M151" s="711">
        <v>66.149999899999997</v>
      </c>
      <c r="N151" s="711">
        <v>44.9</v>
      </c>
      <c r="O151" s="712">
        <v>149.6999998</v>
      </c>
    </row>
    <row r="152" spans="1:15" s="86" customFormat="1" ht="15" x14ac:dyDescent="0.25">
      <c r="A152" s="1278"/>
      <c r="B152" s="87" t="s">
        <v>840</v>
      </c>
      <c r="C152" s="88">
        <v>953</v>
      </c>
      <c r="D152" s="711">
        <v>174.75078679999999</v>
      </c>
      <c r="E152" s="711">
        <v>6.4978439999999997</v>
      </c>
      <c r="F152" s="711">
        <v>174.5</v>
      </c>
      <c r="G152" s="711">
        <v>150.5</v>
      </c>
      <c r="H152" s="711">
        <v>196.3999996</v>
      </c>
      <c r="I152" s="711"/>
      <c r="J152" s="717">
        <v>1496</v>
      </c>
      <c r="K152" s="711">
        <v>163.03609610000001</v>
      </c>
      <c r="L152" s="711">
        <v>6.1163714999999996</v>
      </c>
      <c r="M152" s="711">
        <v>162.7999997</v>
      </c>
      <c r="N152" s="711">
        <v>142.5</v>
      </c>
      <c r="O152" s="712">
        <v>187</v>
      </c>
    </row>
    <row r="153" spans="1:15" s="86" customFormat="1" ht="15" x14ac:dyDescent="0.25">
      <c r="A153" s="1278"/>
      <c r="B153" s="87" t="s">
        <v>841</v>
      </c>
      <c r="C153" s="88">
        <v>953</v>
      </c>
      <c r="D153" s="711">
        <v>94.137565600000002</v>
      </c>
      <c r="E153" s="711">
        <v>9.9402983999999996</v>
      </c>
      <c r="F153" s="711">
        <v>93.5</v>
      </c>
      <c r="G153" s="711">
        <v>67</v>
      </c>
      <c r="H153" s="711">
        <v>146</v>
      </c>
      <c r="I153" s="711"/>
      <c r="J153" s="717">
        <v>1496</v>
      </c>
      <c r="K153" s="711">
        <v>80.674732599999999</v>
      </c>
      <c r="L153" s="711">
        <v>11.6647973</v>
      </c>
      <c r="M153" s="711">
        <v>78.749999900000006</v>
      </c>
      <c r="N153" s="711">
        <v>56.5</v>
      </c>
      <c r="O153" s="712">
        <v>134</v>
      </c>
    </row>
    <row r="154" spans="1:15" s="86" customFormat="1" ht="15" x14ac:dyDescent="0.25">
      <c r="A154" s="1278"/>
      <c r="B154" s="87" t="s">
        <v>843</v>
      </c>
      <c r="C154" s="88">
        <v>953</v>
      </c>
      <c r="D154" s="711">
        <v>99.875341000000006</v>
      </c>
      <c r="E154" s="711">
        <v>6.1818511999999997</v>
      </c>
      <c r="F154" s="711">
        <v>99.5</v>
      </c>
      <c r="G154" s="711">
        <v>82.5</v>
      </c>
      <c r="H154" s="711">
        <v>147</v>
      </c>
      <c r="I154" s="711"/>
      <c r="J154" s="717">
        <v>1496</v>
      </c>
      <c r="K154" s="711">
        <v>101.385361</v>
      </c>
      <c r="L154" s="711">
        <v>9.1866993000000008</v>
      </c>
      <c r="M154" s="711">
        <v>100</v>
      </c>
      <c r="N154" s="711">
        <v>78</v>
      </c>
      <c r="O154" s="712">
        <v>160</v>
      </c>
    </row>
    <row r="155" spans="1:15" s="86" customFormat="1" ht="15" x14ac:dyDescent="0.25">
      <c r="A155" s="1279"/>
      <c r="B155" s="89" t="s">
        <v>844</v>
      </c>
      <c r="C155" s="90">
        <v>953</v>
      </c>
      <c r="D155" s="98">
        <v>0.94124350000000001</v>
      </c>
      <c r="E155" s="98">
        <v>6.2607800000000005E-2</v>
      </c>
      <c r="F155" s="98">
        <v>0.94179889999999999</v>
      </c>
      <c r="G155" s="98">
        <v>0.69035530000000001</v>
      </c>
      <c r="H155" s="98">
        <v>1.1850467</v>
      </c>
      <c r="I155" s="98"/>
      <c r="J155" s="718">
        <v>1496</v>
      </c>
      <c r="K155" s="98">
        <v>0.79383680000000001</v>
      </c>
      <c r="L155" s="98">
        <v>6.8079799999999996E-2</v>
      </c>
      <c r="M155" s="98">
        <v>0.78662339999999997</v>
      </c>
      <c r="N155" s="98">
        <v>0.55188680000000001</v>
      </c>
      <c r="O155" s="99">
        <v>1.0637449999999999</v>
      </c>
    </row>
    <row r="156" spans="1:15" s="86" customFormat="1" ht="15" x14ac:dyDescent="0.25">
      <c r="A156" s="1277" t="s">
        <v>405</v>
      </c>
      <c r="B156" s="855" t="s">
        <v>837</v>
      </c>
      <c r="C156" s="856">
        <v>1187</v>
      </c>
      <c r="D156" s="857">
        <v>61.240400000000001</v>
      </c>
      <c r="E156" s="857">
        <v>8.4150604999999992</v>
      </c>
      <c r="F156" s="857">
        <v>62.689908000000003</v>
      </c>
      <c r="G156" s="857">
        <v>45.328825999999999</v>
      </c>
      <c r="H156" s="857">
        <v>75.188463999999996</v>
      </c>
      <c r="I156" s="857"/>
      <c r="J156" s="858">
        <v>1186</v>
      </c>
      <c r="K156" s="857">
        <v>61.392555000000002</v>
      </c>
      <c r="L156" s="857">
        <v>8.3101433999999994</v>
      </c>
      <c r="M156" s="857">
        <v>63.097856999999998</v>
      </c>
      <c r="N156" s="857">
        <v>45.257640000000002</v>
      </c>
      <c r="O156" s="710">
        <v>75.311670000000007</v>
      </c>
    </row>
    <row r="157" spans="1:15" s="86" customFormat="1" ht="15" x14ac:dyDescent="0.25">
      <c r="A157" s="1278"/>
      <c r="B157" s="87" t="s">
        <v>838</v>
      </c>
      <c r="C157" s="88">
        <v>1187</v>
      </c>
      <c r="D157" s="711">
        <v>26.918645000000001</v>
      </c>
      <c r="E157" s="711">
        <v>3.4077573000000001</v>
      </c>
      <c r="F157" s="711">
        <v>26.583181</v>
      </c>
      <c r="G157" s="711">
        <v>18.726338999999999</v>
      </c>
      <c r="H157" s="711">
        <v>42.272221000000002</v>
      </c>
      <c r="I157" s="711"/>
      <c r="J157" s="717">
        <v>1185</v>
      </c>
      <c r="K157" s="711">
        <v>26.085142000000001</v>
      </c>
      <c r="L157" s="711">
        <v>4.2104191999999996</v>
      </c>
      <c r="M157" s="711">
        <v>25.56213</v>
      </c>
      <c r="N157" s="711">
        <v>16.357959999999999</v>
      </c>
      <c r="O157" s="712">
        <v>50.688046</v>
      </c>
    </row>
    <row r="158" spans="1:15" s="86" customFormat="1" ht="15" x14ac:dyDescent="0.25">
      <c r="A158" s="1278"/>
      <c r="B158" s="87" t="s">
        <v>839</v>
      </c>
      <c r="C158" s="88">
        <v>1187</v>
      </c>
      <c r="D158" s="711">
        <v>86.307641000000004</v>
      </c>
      <c r="E158" s="711">
        <v>12.294347999999999</v>
      </c>
      <c r="F158" s="711">
        <v>85.3</v>
      </c>
      <c r="G158" s="711">
        <v>52.4</v>
      </c>
      <c r="H158" s="711">
        <v>130.30000000000001</v>
      </c>
      <c r="I158" s="711"/>
      <c r="J158" s="717">
        <v>1185</v>
      </c>
      <c r="K158" s="711">
        <v>71.331138999999993</v>
      </c>
      <c r="L158" s="711">
        <v>12.259050999999999</v>
      </c>
      <c r="M158" s="711">
        <v>69.900000000000006</v>
      </c>
      <c r="N158" s="711">
        <v>39.299999999999997</v>
      </c>
      <c r="O158" s="712">
        <v>160.6</v>
      </c>
    </row>
    <row r="159" spans="1:15" s="86" customFormat="1" ht="15" x14ac:dyDescent="0.25">
      <c r="A159" s="1278"/>
      <c r="B159" s="87" t="s">
        <v>840</v>
      </c>
      <c r="C159" s="88">
        <v>1187</v>
      </c>
      <c r="D159" s="711">
        <v>178.98405</v>
      </c>
      <c r="E159" s="711">
        <v>6.6132790000000004</v>
      </c>
      <c r="F159" s="711">
        <v>179</v>
      </c>
      <c r="G159" s="711">
        <v>160</v>
      </c>
      <c r="H159" s="711">
        <v>203</v>
      </c>
      <c r="I159" s="711"/>
      <c r="J159" s="717">
        <v>1186</v>
      </c>
      <c r="K159" s="711">
        <v>165.33094</v>
      </c>
      <c r="L159" s="711">
        <v>6.1328027000000001</v>
      </c>
      <c r="M159" s="711">
        <v>165</v>
      </c>
      <c r="N159" s="711">
        <v>144</v>
      </c>
      <c r="O159" s="712">
        <v>184.5</v>
      </c>
    </row>
    <row r="160" spans="1:15" s="86" customFormat="1" ht="15" x14ac:dyDescent="0.25">
      <c r="A160" s="1278"/>
      <c r="B160" s="87" t="s">
        <v>841</v>
      </c>
      <c r="C160" s="88">
        <v>1187</v>
      </c>
      <c r="D160" s="711">
        <v>97.630562999999995</v>
      </c>
      <c r="E160" s="711">
        <v>9.6805030999999993</v>
      </c>
      <c r="F160" s="711">
        <v>97</v>
      </c>
      <c r="G160" s="711">
        <v>72</v>
      </c>
      <c r="H160" s="711">
        <v>141</v>
      </c>
      <c r="I160" s="711"/>
      <c r="J160" s="717">
        <v>1186</v>
      </c>
      <c r="K160" s="711">
        <v>87.640809000000004</v>
      </c>
      <c r="L160" s="711">
        <v>11.544409999999999</v>
      </c>
      <c r="M160" s="711">
        <v>87</v>
      </c>
      <c r="N160" s="711">
        <v>61</v>
      </c>
      <c r="O160" s="712">
        <v>144</v>
      </c>
    </row>
    <row r="161" spans="1:15" s="86" customFormat="1" ht="15" x14ac:dyDescent="0.25">
      <c r="A161" s="1278"/>
      <c r="B161" s="87" t="s">
        <v>843</v>
      </c>
      <c r="C161" s="88">
        <v>1187</v>
      </c>
      <c r="D161" s="711">
        <v>103.10663</v>
      </c>
      <c r="E161" s="711">
        <v>6.1068880999999999</v>
      </c>
      <c r="F161" s="711">
        <v>103</v>
      </c>
      <c r="G161" s="711">
        <v>56</v>
      </c>
      <c r="H161" s="711">
        <v>131</v>
      </c>
      <c r="I161" s="711"/>
      <c r="J161" s="717">
        <v>1186</v>
      </c>
      <c r="K161" s="711">
        <v>103.00843</v>
      </c>
      <c r="L161" s="711">
        <v>8.7753931000000005</v>
      </c>
      <c r="M161" s="711">
        <v>102</v>
      </c>
      <c r="N161" s="711">
        <v>56</v>
      </c>
      <c r="O161" s="712">
        <v>153</v>
      </c>
    </row>
    <row r="162" spans="1:15" s="86" customFormat="1" ht="15" x14ac:dyDescent="0.25">
      <c r="A162" s="1279"/>
      <c r="B162" s="89" t="s">
        <v>844</v>
      </c>
      <c r="C162" s="90">
        <v>1187</v>
      </c>
      <c r="D162" s="98">
        <v>0.94600821000000002</v>
      </c>
      <c r="E162" s="98">
        <v>6.2511570000000002E-2</v>
      </c>
      <c r="F162" s="98">
        <v>0.94339620999999996</v>
      </c>
      <c r="G162" s="98">
        <v>0.74766356</v>
      </c>
      <c r="H162" s="98">
        <v>1.4285715000000001</v>
      </c>
      <c r="I162" s="98"/>
      <c r="J162" s="718">
        <v>1186</v>
      </c>
      <c r="K162" s="98">
        <v>0.84923150000000003</v>
      </c>
      <c r="L162" s="98">
        <v>6.691983E-2</v>
      </c>
      <c r="M162" s="98">
        <v>0.84772256000000001</v>
      </c>
      <c r="N162" s="98">
        <v>0.59813081999999995</v>
      </c>
      <c r="O162" s="99">
        <v>1.4464284999999999</v>
      </c>
    </row>
    <row r="163" spans="1:15" s="86" customFormat="1" ht="15" x14ac:dyDescent="0.25">
      <c r="A163" s="1277" t="s">
        <v>410</v>
      </c>
      <c r="B163" s="855" t="s">
        <v>837</v>
      </c>
      <c r="C163" s="856">
        <v>610</v>
      </c>
      <c r="D163" s="857">
        <v>58.4</v>
      </c>
      <c r="E163" s="857">
        <v>14.85</v>
      </c>
      <c r="F163" s="857">
        <v>61</v>
      </c>
      <c r="G163" s="857">
        <v>18</v>
      </c>
      <c r="H163" s="857">
        <v>98</v>
      </c>
      <c r="I163" s="857"/>
      <c r="J163" s="858">
        <v>971</v>
      </c>
      <c r="K163" s="857">
        <v>55.33</v>
      </c>
      <c r="L163" s="857">
        <v>14.7</v>
      </c>
      <c r="M163" s="857">
        <v>57</v>
      </c>
      <c r="N163" s="857">
        <v>18</v>
      </c>
      <c r="O163" s="710">
        <v>94</v>
      </c>
    </row>
    <row r="164" spans="1:15" s="86" customFormat="1" ht="15" x14ac:dyDescent="0.25">
      <c r="A164" s="1278"/>
      <c r="B164" s="87" t="s">
        <v>838</v>
      </c>
      <c r="C164" s="88">
        <v>610</v>
      </c>
      <c r="D164" s="711">
        <v>28.056999999999999</v>
      </c>
      <c r="E164" s="711">
        <v>4.5309999999999997</v>
      </c>
      <c r="F164" s="711">
        <v>27.53</v>
      </c>
      <c r="G164" s="711">
        <v>14.27</v>
      </c>
      <c r="H164" s="711">
        <v>56.75</v>
      </c>
      <c r="I164" s="711"/>
      <c r="J164" s="717">
        <v>969</v>
      </c>
      <c r="K164" s="711">
        <v>26.757999999999999</v>
      </c>
      <c r="L164" s="711">
        <v>5.4020000000000001</v>
      </c>
      <c r="M164" s="711">
        <v>25.61</v>
      </c>
      <c r="N164" s="711">
        <v>14.44</v>
      </c>
      <c r="O164" s="712">
        <v>63.37</v>
      </c>
    </row>
    <row r="165" spans="1:15" s="86" customFormat="1" ht="15" x14ac:dyDescent="0.25">
      <c r="A165" s="1278"/>
      <c r="B165" s="87" t="s">
        <v>840</v>
      </c>
      <c r="C165" s="88">
        <v>610</v>
      </c>
      <c r="D165" s="711">
        <v>1.7588999999999999</v>
      </c>
      <c r="E165" s="711">
        <v>6.7799999999999999E-2</v>
      </c>
      <c r="F165" s="711">
        <v>1.76</v>
      </c>
      <c r="G165" s="711">
        <v>1.41</v>
      </c>
      <c r="H165" s="711">
        <v>1.998</v>
      </c>
      <c r="I165" s="711"/>
      <c r="J165" s="717">
        <v>971</v>
      </c>
      <c r="K165" s="711">
        <v>1.6319999999999999</v>
      </c>
      <c r="L165" s="711">
        <v>6.5100000000000005E-2</v>
      </c>
      <c r="M165" s="711">
        <v>1.631</v>
      </c>
      <c r="N165" s="711">
        <v>1.2</v>
      </c>
      <c r="O165" s="712">
        <v>1.8759999999999999</v>
      </c>
    </row>
    <row r="166" spans="1:15" s="86" customFormat="1" ht="15" x14ac:dyDescent="0.25">
      <c r="A166" s="1279"/>
      <c r="B166" s="89" t="s">
        <v>844</v>
      </c>
      <c r="C166" s="90">
        <v>609</v>
      </c>
      <c r="D166" s="98">
        <v>0.93559999999999999</v>
      </c>
      <c r="E166" s="98">
        <v>8.0100000000000005E-2</v>
      </c>
      <c r="F166" s="98">
        <v>0.93579999999999997</v>
      </c>
      <c r="G166" s="98">
        <v>0.5534</v>
      </c>
      <c r="H166" s="98">
        <v>1.2784</v>
      </c>
      <c r="I166" s="98"/>
      <c r="J166" s="718">
        <v>968</v>
      </c>
      <c r="K166" s="98">
        <v>0.81420000000000003</v>
      </c>
      <c r="L166" s="98">
        <v>7.6499999999999999E-2</v>
      </c>
      <c r="M166" s="98">
        <v>0.80900000000000005</v>
      </c>
      <c r="N166" s="98">
        <v>0</v>
      </c>
      <c r="O166" s="99">
        <v>1.29</v>
      </c>
    </row>
    <row r="167" spans="1:15" s="86" customFormat="1" ht="15" x14ac:dyDescent="0.25">
      <c r="A167" s="1277" t="s">
        <v>854</v>
      </c>
      <c r="B167" s="855" t="s">
        <v>837</v>
      </c>
      <c r="C167" s="856">
        <v>208</v>
      </c>
      <c r="D167" s="857">
        <v>52.389423100000002</v>
      </c>
      <c r="E167" s="857">
        <v>10.468599599999999</v>
      </c>
      <c r="F167" s="857">
        <v>52</v>
      </c>
      <c r="G167" s="857">
        <v>30</v>
      </c>
      <c r="H167" s="857">
        <v>81</v>
      </c>
      <c r="I167" s="857"/>
      <c r="J167" s="858">
        <v>399</v>
      </c>
      <c r="K167" s="857">
        <v>53.716791999999998</v>
      </c>
      <c r="L167" s="857">
        <v>10.9309157</v>
      </c>
      <c r="M167" s="857">
        <v>53</v>
      </c>
      <c r="N167" s="857">
        <v>31</v>
      </c>
      <c r="O167" s="710">
        <v>83</v>
      </c>
    </row>
    <row r="168" spans="1:15" s="86" customFormat="1" ht="15" x14ac:dyDescent="0.25">
      <c r="A168" s="1278"/>
      <c r="B168" s="87" t="s">
        <v>838</v>
      </c>
      <c r="C168" s="88">
        <v>208</v>
      </c>
      <c r="D168" s="711">
        <v>30.213953799999999</v>
      </c>
      <c r="E168" s="711">
        <v>6.1762692000000001</v>
      </c>
      <c r="F168" s="711">
        <v>29.505555699999999</v>
      </c>
      <c r="G168" s="711">
        <v>16.916566400000001</v>
      </c>
      <c r="H168" s="711">
        <v>51.089406500000003</v>
      </c>
      <c r="I168" s="711"/>
      <c r="J168" s="717">
        <v>399</v>
      </c>
      <c r="K168" s="711">
        <v>33.972549800000003</v>
      </c>
      <c r="L168" s="711">
        <v>7.6342461000000004</v>
      </c>
      <c r="M168" s="711">
        <v>32.902898700000001</v>
      </c>
      <c r="N168" s="711">
        <v>15.6854034</v>
      </c>
      <c r="O168" s="712">
        <v>60.232082300000002</v>
      </c>
    </row>
    <row r="169" spans="1:15" s="86" customFormat="1" ht="15" x14ac:dyDescent="0.25">
      <c r="A169" s="1278"/>
      <c r="B169" s="87" t="s">
        <v>839</v>
      </c>
      <c r="C169" s="88">
        <v>208</v>
      </c>
      <c r="D169" s="711">
        <v>94.205388499999998</v>
      </c>
      <c r="E169" s="711">
        <v>20.620294399999999</v>
      </c>
      <c r="F169" s="711">
        <v>92.986360000000005</v>
      </c>
      <c r="G169" s="711">
        <v>48.534343999999997</v>
      </c>
      <c r="H169" s="711">
        <v>152.86050399999999</v>
      </c>
      <c r="I169" s="711"/>
      <c r="J169" s="717">
        <v>399</v>
      </c>
      <c r="K169" s="711">
        <v>90.318238600000001</v>
      </c>
      <c r="L169" s="711">
        <v>21.3789175</v>
      </c>
      <c r="M169" s="711">
        <v>85.728887999999998</v>
      </c>
      <c r="N169" s="711">
        <v>43.998424</v>
      </c>
      <c r="O169" s="712">
        <v>157.85001600000001</v>
      </c>
    </row>
    <row r="170" spans="1:15" s="86" customFormat="1" ht="15" x14ac:dyDescent="0.25">
      <c r="A170" s="1278"/>
      <c r="B170" s="87" t="s">
        <v>840</v>
      </c>
      <c r="C170" s="88">
        <v>208</v>
      </c>
      <c r="D170" s="711">
        <v>176.63942309999999</v>
      </c>
      <c r="E170" s="711">
        <v>7.2724603999999999</v>
      </c>
      <c r="F170" s="711">
        <v>177</v>
      </c>
      <c r="G170" s="711">
        <v>140</v>
      </c>
      <c r="H170" s="711">
        <v>195</v>
      </c>
      <c r="I170" s="711"/>
      <c r="J170" s="717">
        <v>399</v>
      </c>
      <c r="K170" s="711">
        <v>163.12280699999999</v>
      </c>
      <c r="L170" s="711">
        <v>6.3263392999999999</v>
      </c>
      <c r="M170" s="711">
        <v>163</v>
      </c>
      <c r="N170" s="711">
        <v>146</v>
      </c>
      <c r="O170" s="712">
        <v>216</v>
      </c>
    </row>
    <row r="171" spans="1:15" s="86" customFormat="1" ht="15" x14ac:dyDescent="0.25">
      <c r="A171" s="1278"/>
      <c r="B171" s="87" t="s">
        <v>841</v>
      </c>
      <c r="C171" s="88">
        <v>208</v>
      </c>
      <c r="D171" s="711">
        <v>103.2067308</v>
      </c>
      <c r="E171" s="711">
        <v>15.741589400000001</v>
      </c>
      <c r="F171" s="711">
        <v>100.5</v>
      </c>
      <c r="G171" s="711">
        <v>68</v>
      </c>
      <c r="H171" s="711">
        <v>152</v>
      </c>
      <c r="I171" s="711"/>
      <c r="J171" s="717">
        <v>399</v>
      </c>
      <c r="K171" s="711">
        <v>105.716792</v>
      </c>
      <c r="L171" s="711">
        <v>17.345223499999999</v>
      </c>
      <c r="M171" s="711">
        <v>104</v>
      </c>
      <c r="N171" s="711">
        <v>66</v>
      </c>
      <c r="O171" s="712">
        <v>171</v>
      </c>
    </row>
    <row r="172" spans="1:15" s="86" customFormat="1" ht="15" x14ac:dyDescent="0.25">
      <c r="A172" s="1278"/>
      <c r="B172" s="87" t="s">
        <v>843</v>
      </c>
      <c r="C172" s="88">
        <v>208</v>
      </c>
      <c r="D172" s="711">
        <v>108.4663462</v>
      </c>
      <c r="E172" s="711">
        <v>12.7024218</v>
      </c>
      <c r="F172" s="711">
        <v>107</v>
      </c>
      <c r="G172" s="711">
        <v>78</v>
      </c>
      <c r="H172" s="711">
        <v>157</v>
      </c>
      <c r="I172" s="711"/>
      <c r="J172" s="717">
        <v>399</v>
      </c>
      <c r="K172" s="711">
        <v>117.3132832</v>
      </c>
      <c r="L172" s="711">
        <v>15.318711199999999</v>
      </c>
      <c r="M172" s="711">
        <v>116</v>
      </c>
      <c r="N172" s="711">
        <v>76</v>
      </c>
      <c r="O172" s="712">
        <v>168</v>
      </c>
    </row>
    <row r="173" spans="1:15" s="86" customFormat="1" ht="15" x14ac:dyDescent="0.25">
      <c r="A173" s="1279"/>
      <c r="B173" s="89" t="s">
        <v>844</v>
      </c>
      <c r="C173" s="90">
        <v>208</v>
      </c>
      <c r="D173" s="98">
        <v>0.94925970000000004</v>
      </c>
      <c r="E173" s="98">
        <v>6.42123E-2</v>
      </c>
      <c r="F173" s="98">
        <v>0.95089999999999997</v>
      </c>
      <c r="G173" s="98">
        <v>0.76404490000000003</v>
      </c>
      <c r="H173" s="98">
        <v>1.1515152</v>
      </c>
      <c r="I173" s="98"/>
      <c r="J173" s="718">
        <v>399</v>
      </c>
      <c r="K173" s="98">
        <v>0.89979989999999999</v>
      </c>
      <c r="L173" s="98">
        <v>7.4816599999999997E-2</v>
      </c>
      <c r="M173" s="98">
        <v>0.90163930000000003</v>
      </c>
      <c r="N173" s="98">
        <v>0.70370370000000004</v>
      </c>
      <c r="O173" s="99">
        <v>1.1188119000000001</v>
      </c>
    </row>
    <row r="174" spans="1:15" s="86" customFormat="1" ht="15" x14ac:dyDescent="0.25">
      <c r="A174" s="1278" t="s">
        <v>855</v>
      </c>
      <c r="B174" s="87" t="s">
        <v>837</v>
      </c>
      <c r="C174" s="88">
        <v>1783</v>
      </c>
      <c r="D174" s="711">
        <v>52.014724200000003</v>
      </c>
      <c r="E174" s="711">
        <v>13.911153799999999</v>
      </c>
      <c r="F174" s="711">
        <v>53.9493498</v>
      </c>
      <c r="G174" s="711">
        <v>25.210129999999999</v>
      </c>
      <c r="H174" s="711">
        <v>91.044490100000004</v>
      </c>
      <c r="I174" s="711"/>
      <c r="J174" s="717">
        <v>1963</v>
      </c>
      <c r="K174" s="711">
        <v>52.405957899999997</v>
      </c>
      <c r="L174" s="711">
        <v>13.4386107</v>
      </c>
      <c r="M174" s="711">
        <v>53.982204000000003</v>
      </c>
      <c r="N174" s="711">
        <v>25.2210815</v>
      </c>
      <c r="O174" s="712">
        <v>93.626283400000005</v>
      </c>
    </row>
    <row r="175" spans="1:15" s="86" customFormat="1" ht="15" x14ac:dyDescent="0.25">
      <c r="A175" s="1278"/>
      <c r="B175" s="87" t="s">
        <v>838</v>
      </c>
      <c r="C175" s="88">
        <v>1783</v>
      </c>
      <c r="D175" s="711">
        <v>28.0048225</v>
      </c>
      <c r="E175" s="711">
        <v>4.6331797999999997</v>
      </c>
      <c r="F175" s="711">
        <v>27.308641999999999</v>
      </c>
      <c r="G175" s="711">
        <v>15.96</v>
      </c>
      <c r="H175" s="711">
        <v>63.566592399999998</v>
      </c>
      <c r="I175" s="711"/>
      <c r="J175" s="717">
        <v>1963</v>
      </c>
      <c r="K175" s="711">
        <v>27.504372799999999</v>
      </c>
      <c r="L175" s="711">
        <v>6.1330792000000001</v>
      </c>
      <c r="M175" s="711">
        <v>26.223749999999999</v>
      </c>
      <c r="N175" s="711">
        <v>16.114030100000001</v>
      </c>
      <c r="O175" s="712">
        <v>55.144433200000002</v>
      </c>
    </row>
    <row r="176" spans="1:15" s="86" customFormat="1" ht="15" x14ac:dyDescent="0.25">
      <c r="A176" s="1278"/>
      <c r="B176" s="87" t="s">
        <v>839</v>
      </c>
      <c r="C176" s="88">
        <v>1783</v>
      </c>
      <c r="D176" s="711">
        <v>87.735580999999996</v>
      </c>
      <c r="E176" s="711">
        <v>16.052814399999999</v>
      </c>
      <c r="F176" s="711">
        <v>85.275295999999997</v>
      </c>
      <c r="G176" s="711">
        <v>45.812792000000002</v>
      </c>
      <c r="H176" s="711">
        <v>236.775024</v>
      </c>
      <c r="I176" s="711"/>
      <c r="J176" s="717">
        <v>1963</v>
      </c>
      <c r="K176" s="711">
        <v>72.757959200000002</v>
      </c>
      <c r="L176" s="711">
        <v>16.842061000000001</v>
      </c>
      <c r="M176" s="711">
        <v>69.399575999999996</v>
      </c>
      <c r="N176" s="711">
        <v>36.740952</v>
      </c>
      <c r="O176" s="712">
        <v>151.95331999999999</v>
      </c>
    </row>
    <row r="177" spans="1:15" s="86" customFormat="1" ht="15" x14ac:dyDescent="0.25">
      <c r="A177" s="1278"/>
      <c r="B177" s="87" t="s">
        <v>840</v>
      </c>
      <c r="C177" s="88">
        <v>1783</v>
      </c>
      <c r="D177" s="711">
        <v>176.90914190000001</v>
      </c>
      <c r="E177" s="711">
        <v>7.0440844</v>
      </c>
      <c r="F177" s="711">
        <v>177</v>
      </c>
      <c r="G177" s="711">
        <v>155</v>
      </c>
      <c r="H177" s="711">
        <v>207</v>
      </c>
      <c r="I177" s="711"/>
      <c r="J177" s="717">
        <v>1963</v>
      </c>
      <c r="K177" s="711">
        <v>162.63321450000001</v>
      </c>
      <c r="L177" s="711">
        <v>6.3359851000000003</v>
      </c>
      <c r="M177" s="711">
        <v>163</v>
      </c>
      <c r="N177" s="711">
        <v>141</v>
      </c>
      <c r="O177" s="712">
        <v>196</v>
      </c>
    </row>
    <row r="178" spans="1:15" s="86" customFormat="1" ht="15" x14ac:dyDescent="0.25">
      <c r="A178" s="1278"/>
      <c r="B178" s="87" t="s">
        <v>841</v>
      </c>
      <c r="C178" s="88">
        <v>1783</v>
      </c>
      <c r="D178" s="711">
        <v>100.7464947</v>
      </c>
      <c r="E178" s="711">
        <v>12.8530374</v>
      </c>
      <c r="F178" s="711">
        <v>100</v>
      </c>
      <c r="G178" s="711">
        <v>44</v>
      </c>
      <c r="H178" s="711">
        <v>188</v>
      </c>
      <c r="I178" s="711"/>
      <c r="J178" s="717">
        <v>1963</v>
      </c>
      <c r="K178" s="711">
        <v>94.807946999999999</v>
      </c>
      <c r="L178" s="711">
        <v>16.714283600000002</v>
      </c>
      <c r="M178" s="711">
        <v>93</v>
      </c>
      <c r="N178" s="711">
        <v>27</v>
      </c>
      <c r="O178" s="712">
        <v>170</v>
      </c>
    </row>
    <row r="179" spans="1:15" s="86" customFormat="1" ht="15" x14ac:dyDescent="0.25">
      <c r="A179" s="1278"/>
      <c r="B179" s="87" t="s">
        <v>843</v>
      </c>
      <c r="C179" s="88">
        <v>1783</v>
      </c>
      <c r="D179" s="711">
        <v>104.5945036</v>
      </c>
      <c r="E179" s="711">
        <v>9.0704261000000006</v>
      </c>
      <c r="F179" s="711">
        <v>103</v>
      </c>
      <c r="G179" s="711">
        <v>53</v>
      </c>
      <c r="H179" s="711">
        <v>190</v>
      </c>
      <c r="I179" s="711"/>
      <c r="J179" s="717">
        <v>1963</v>
      </c>
      <c r="K179" s="711">
        <v>107.19867549999999</v>
      </c>
      <c r="L179" s="711">
        <v>12.656533</v>
      </c>
      <c r="M179" s="711">
        <v>105</v>
      </c>
      <c r="N179" s="711">
        <v>59</v>
      </c>
      <c r="O179" s="712">
        <v>196</v>
      </c>
    </row>
    <row r="180" spans="1:15" s="86" customFormat="1" ht="15" x14ac:dyDescent="0.25">
      <c r="A180" s="1279"/>
      <c r="B180" s="87" t="s">
        <v>844</v>
      </c>
      <c r="C180" s="88">
        <v>1783</v>
      </c>
      <c r="D180" s="711">
        <v>0.96167029999999998</v>
      </c>
      <c r="E180" s="711">
        <v>7.0156300000000005E-2</v>
      </c>
      <c r="F180" s="711">
        <v>0.96491229999999995</v>
      </c>
      <c r="G180" s="711">
        <v>0.40366970000000002</v>
      </c>
      <c r="H180" s="711">
        <v>1.8113208000000001</v>
      </c>
      <c r="I180" s="711"/>
      <c r="J180" s="717">
        <v>1963</v>
      </c>
      <c r="K180" s="711">
        <v>0.88142909999999997</v>
      </c>
      <c r="L180" s="711">
        <v>8.7847499999999995E-2</v>
      </c>
      <c r="M180" s="711">
        <v>0.8823529</v>
      </c>
      <c r="N180" s="711">
        <v>0.29032259999999999</v>
      </c>
      <c r="O180" s="712">
        <v>1.5593220000000001</v>
      </c>
    </row>
    <row r="181" spans="1:15" s="86" customFormat="1" ht="15" x14ac:dyDescent="0.25">
      <c r="A181" s="1277" t="s">
        <v>856</v>
      </c>
      <c r="B181" s="855" t="s">
        <v>837</v>
      </c>
      <c r="C181" s="856">
        <v>622</v>
      </c>
      <c r="D181" s="857">
        <v>48.486820000000002</v>
      </c>
      <c r="E181" s="857">
        <v>7.2288199999999998</v>
      </c>
      <c r="F181" s="857">
        <v>48.5</v>
      </c>
      <c r="G181" s="857">
        <v>31.3</v>
      </c>
      <c r="H181" s="857">
        <v>61.5</v>
      </c>
      <c r="I181" s="857"/>
      <c r="J181" s="858">
        <v>719</v>
      </c>
      <c r="K181" s="857">
        <v>48.638530000000003</v>
      </c>
      <c r="L181" s="857">
        <v>7.21157</v>
      </c>
      <c r="M181" s="857">
        <v>49.1</v>
      </c>
      <c r="N181" s="857">
        <v>33.700000000000003</v>
      </c>
      <c r="O181" s="710">
        <v>61.1</v>
      </c>
    </row>
    <row r="182" spans="1:15" s="86" customFormat="1" ht="15" x14ac:dyDescent="0.25">
      <c r="A182" s="1278"/>
      <c r="B182" s="87" t="s">
        <v>838</v>
      </c>
      <c r="C182" s="88">
        <v>622</v>
      </c>
      <c r="D182" s="711">
        <v>27.511410000000001</v>
      </c>
      <c r="E182" s="711">
        <v>3.9843839999999999</v>
      </c>
      <c r="F182" s="711">
        <v>27.1</v>
      </c>
      <c r="G182" s="711">
        <v>18.03</v>
      </c>
      <c r="H182" s="711">
        <v>46.59</v>
      </c>
      <c r="I182" s="711"/>
      <c r="J182" s="717">
        <v>719</v>
      </c>
      <c r="K182" s="711">
        <v>26.61515</v>
      </c>
      <c r="L182" s="711">
        <v>5.4989319999999999</v>
      </c>
      <c r="M182" s="711">
        <v>25.26</v>
      </c>
      <c r="N182" s="711">
        <v>16.57</v>
      </c>
      <c r="O182" s="712">
        <v>59.85</v>
      </c>
    </row>
    <row r="183" spans="1:15" s="86" customFormat="1" ht="15" x14ac:dyDescent="0.25">
      <c r="A183" s="1278"/>
      <c r="B183" s="87" t="s">
        <v>839</v>
      </c>
      <c r="C183" s="88">
        <v>622</v>
      </c>
      <c r="D183" s="711">
        <v>87.493889999999993</v>
      </c>
      <c r="E183" s="711">
        <v>13.812670000000001</v>
      </c>
      <c r="F183" s="711">
        <v>86.2</v>
      </c>
      <c r="G183" s="711">
        <v>55.7</v>
      </c>
      <c r="H183" s="711">
        <v>152.9</v>
      </c>
      <c r="I183" s="711"/>
      <c r="J183" s="717">
        <v>719</v>
      </c>
      <c r="K183" s="711">
        <v>71.932550000000006</v>
      </c>
      <c r="L183" s="711">
        <v>15.33883</v>
      </c>
      <c r="M183" s="711">
        <v>68.3</v>
      </c>
      <c r="N183" s="711">
        <v>43</v>
      </c>
      <c r="O183" s="712">
        <v>181</v>
      </c>
    </row>
    <row r="184" spans="1:15" s="86" customFormat="1" ht="15" x14ac:dyDescent="0.25">
      <c r="A184" s="1278"/>
      <c r="B184" s="87" t="s">
        <v>840</v>
      </c>
      <c r="C184" s="88">
        <v>622</v>
      </c>
      <c r="D184" s="711">
        <v>178.2807</v>
      </c>
      <c r="E184" s="711">
        <v>6.5558449999999997</v>
      </c>
      <c r="F184" s="711">
        <v>178.15</v>
      </c>
      <c r="G184" s="711">
        <v>159.6</v>
      </c>
      <c r="H184" s="711">
        <v>197.3</v>
      </c>
      <c r="I184" s="711"/>
      <c r="J184" s="717">
        <v>719</v>
      </c>
      <c r="K184" s="711">
        <v>164.43049999999999</v>
      </c>
      <c r="L184" s="711">
        <v>6.2541869999999999</v>
      </c>
      <c r="M184" s="711">
        <v>164.1</v>
      </c>
      <c r="N184" s="711">
        <v>145.80000000000001</v>
      </c>
      <c r="O184" s="712">
        <v>188</v>
      </c>
    </row>
    <row r="185" spans="1:15" s="86" customFormat="1" ht="15" x14ac:dyDescent="0.25">
      <c r="A185" s="1278"/>
      <c r="B185" s="87" t="s">
        <v>841</v>
      </c>
      <c r="C185" s="88">
        <v>622</v>
      </c>
      <c r="D185" s="711">
        <v>97.808599999999998</v>
      </c>
      <c r="E185" s="711">
        <v>11.18783</v>
      </c>
      <c r="F185" s="711">
        <v>97.025000000000006</v>
      </c>
      <c r="G185" s="711">
        <v>73.099999999999994</v>
      </c>
      <c r="H185" s="711">
        <v>144.25</v>
      </c>
      <c r="I185" s="711"/>
      <c r="J185" s="717">
        <v>716</v>
      </c>
      <c r="K185" s="711">
        <v>86.238249999999994</v>
      </c>
      <c r="L185" s="711">
        <v>13.08807</v>
      </c>
      <c r="M185" s="711">
        <v>84.2</v>
      </c>
      <c r="N185" s="711">
        <v>61.1</v>
      </c>
      <c r="O185" s="712">
        <v>141</v>
      </c>
    </row>
    <row r="186" spans="1:15" s="86" customFormat="1" ht="15" x14ac:dyDescent="0.25">
      <c r="A186" s="1278"/>
      <c r="B186" s="87" t="s">
        <v>843</v>
      </c>
      <c r="C186" s="88">
        <v>622</v>
      </c>
      <c r="D186" s="711">
        <v>103.54770000000001</v>
      </c>
      <c r="E186" s="711">
        <v>6.9055499999999999</v>
      </c>
      <c r="F186" s="711">
        <v>103.02500000000001</v>
      </c>
      <c r="G186" s="711">
        <v>84.65</v>
      </c>
      <c r="H186" s="711">
        <v>139.5</v>
      </c>
      <c r="I186" s="711"/>
      <c r="J186" s="717">
        <v>716</v>
      </c>
      <c r="K186" s="711">
        <v>103.9636</v>
      </c>
      <c r="L186" s="711">
        <v>10.755140000000001</v>
      </c>
      <c r="M186" s="711">
        <v>102.05</v>
      </c>
      <c r="N186" s="711">
        <v>81.900000000000006</v>
      </c>
      <c r="O186" s="712">
        <v>177.55</v>
      </c>
    </row>
    <row r="187" spans="1:15" s="86" customFormat="1" ht="15" x14ac:dyDescent="0.25">
      <c r="A187" s="1279"/>
      <c r="B187" s="87" t="s">
        <v>844</v>
      </c>
      <c r="C187" s="88">
        <v>622</v>
      </c>
      <c r="D187" s="711">
        <v>0.94292310000000001</v>
      </c>
      <c r="E187" s="711">
        <v>6.7046599999999998E-2</v>
      </c>
      <c r="F187" s="711">
        <v>0.94450100000000003</v>
      </c>
      <c r="G187" s="711">
        <v>0.76470590000000005</v>
      </c>
      <c r="H187" s="711">
        <v>1.1666669999999999</v>
      </c>
      <c r="I187" s="711"/>
      <c r="J187" s="717">
        <v>716</v>
      </c>
      <c r="K187" s="711">
        <v>0.82746209999999998</v>
      </c>
      <c r="L187" s="711">
        <v>6.9539699999999996E-2</v>
      </c>
      <c r="M187" s="711">
        <v>0.82186800000000004</v>
      </c>
      <c r="N187" s="711">
        <v>0.64085190000000003</v>
      </c>
      <c r="O187" s="712">
        <v>1.1180159999999999</v>
      </c>
    </row>
    <row r="188" spans="1:15" s="86" customFormat="1" ht="15" x14ac:dyDescent="0.25">
      <c r="A188" s="1277" t="s">
        <v>425</v>
      </c>
      <c r="B188" s="855" t="s">
        <v>837</v>
      </c>
      <c r="C188" s="856">
        <v>1234</v>
      </c>
      <c r="D188" s="857">
        <v>60.224499999999999</v>
      </c>
      <c r="E188" s="857">
        <v>8.4259000000000004</v>
      </c>
      <c r="F188" s="857">
        <v>61</v>
      </c>
      <c r="G188" s="857">
        <v>45</v>
      </c>
      <c r="H188" s="857">
        <v>74</v>
      </c>
      <c r="I188" s="857"/>
      <c r="J188" s="858">
        <v>1333</v>
      </c>
      <c r="K188" s="857">
        <v>59.430599999999998</v>
      </c>
      <c r="L188" s="857">
        <v>8.2584999999999997</v>
      </c>
      <c r="M188" s="857">
        <v>59</v>
      </c>
      <c r="N188" s="857">
        <v>45</v>
      </c>
      <c r="O188" s="710">
        <v>74</v>
      </c>
    </row>
    <row r="189" spans="1:15" s="86" customFormat="1" ht="15" x14ac:dyDescent="0.25">
      <c r="A189" s="1278"/>
      <c r="B189" s="87" t="s">
        <v>838</v>
      </c>
      <c r="C189" s="88">
        <v>1234</v>
      </c>
      <c r="D189" s="711">
        <v>27.466899999999999</v>
      </c>
      <c r="E189" s="711">
        <v>4.2019000000000002</v>
      </c>
      <c r="F189" s="711">
        <v>26.8995</v>
      </c>
      <c r="G189" s="711">
        <v>16.493400000000001</v>
      </c>
      <c r="H189" s="711">
        <v>48.9467</v>
      </c>
      <c r="I189" s="711"/>
      <c r="J189" s="717">
        <v>1333</v>
      </c>
      <c r="K189" s="711">
        <v>27.572099999999999</v>
      </c>
      <c r="L189" s="711">
        <v>5.2827999999999999</v>
      </c>
      <c r="M189" s="711">
        <v>26.749500000000001</v>
      </c>
      <c r="N189" s="711">
        <v>17.2105</v>
      </c>
      <c r="O189" s="712">
        <v>55.191299999999998</v>
      </c>
    </row>
    <row r="190" spans="1:15" s="86" customFormat="1" ht="15" x14ac:dyDescent="0.25">
      <c r="A190" s="1278"/>
      <c r="B190" s="87" t="s">
        <v>839</v>
      </c>
      <c r="C190" s="88">
        <v>1234</v>
      </c>
      <c r="D190" s="711">
        <v>85.015500000000003</v>
      </c>
      <c r="E190" s="711">
        <v>14.404999999999999</v>
      </c>
      <c r="F190" s="711">
        <v>83.4</v>
      </c>
      <c r="G190" s="711">
        <v>46.5</v>
      </c>
      <c r="H190" s="711">
        <v>160</v>
      </c>
      <c r="I190" s="711"/>
      <c r="J190" s="717">
        <v>1333</v>
      </c>
      <c r="K190" s="711">
        <v>72.863699999999994</v>
      </c>
      <c r="L190" s="711">
        <v>14.394600000000001</v>
      </c>
      <c r="M190" s="711">
        <v>71</v>
      </c>
      <c r="N190" s="711">
        <v>41.9</v>
      </c>
      <c r="O190" s="712">
        <v>155.69999999999999</v>
      </c>
    </row>
    <row r="191" spans="1:15" s="86" customFormat="1" ht="15" x14ac:dyDescent="0.25">
      <c r="A191" s="1278"/>
      <c r="B191" s="87" t="s">
        <v>840</v>
      </c>
      <c r="C191" s="88">
        <v>1234</v>
      </c>
      <c r="D191" s="711">
        <v>175.8237</v>
      </c>
      <c r="E191" s="711">
        <v>6.5481999999999996</v>
      </c>
      <c r="F191" s="711">
        <v>175.5</v>
      </c>
      <c r="G191" s="711">
        <v>144.80000000000001</v>
      </c>
      <c r="H191" s="711">
        <v>198.3</v>
      </c>
      <c r="I191" s="711"/>
      <c r="J191" s="717">
        <v>1333</v>
      </c>
      <c r="K191" s="711">
        <v>162.56309999999999</v>
      </c>
      <c r="L191" s="711">
        <v>5.5983000000000001</v>
      </c>
      <c r="M191" s="711">
        <v>162.30000000000001</v>
      </c>
      <c r="N191" s="711">
        <v>140.9</v>
      </c>
      <c r="O191" s="712">
        <v>183.1</v>
      </c>
    </row>
    <row r="192" spans="1:15" s="86" customFormat="1" ht="15" x14ac:dyDescent="0.25">
      <c r="A192" s="1278"/>
      <c r="B192" s="87" t="s">
        <v>841</v>
      </c>
      <c r="C192" s="88">
        <v>1234</v>
      </c>
      <c r="D192" s="711">
        <v>100.0698</v>
      </c>
      <c r="E192" s="711">
        <v>11.838800000000001</v>
      </c>
      <c r="F192" s="711">
        <v>99</v>
      </c>
      <c r="G192" s="711">
        <v>63</v>
      </c>
      <c r="H192" s="711">
        <v>150</v>
      </c>
      <c r="I192" s="711"/>
      <c r="J192" s="717">
        <v>1333</v>
      </c>
      <c r="K192" s="711">
        <v>90.544200000000004</v>
      </c>
      <c r="L192" s="711">
        <v>13.2963</v>
      </c>
      <c r="M192" s="711">
        <v>89</v>
      </c>
      <c r="N192" s="711">
        <v>62</v>
      </c>
      <c r="O192" s="712">
        <v>150</v>
      </c>
    </row>
    <row r="193" spans="1:15" s="86" customFormat="1" ht="15" x14ac:dyDescent="0.25">
      <c r="A193" s="1278"/>
      <c r="B193" s="87" t="s">
        <v>843</v>
      </c>
      <c r="C193" s="88">
        <v>1234</v>
      </c>
      <c r="D193" s="711">
        <v>100.6199</v>
      </c>
      <c r="E193" s="711">
        <v>7.5510000000000002</v>
      </c>
      <c r="F193" s="711">
        <v>99.5</v>
      </c>
      <c r="G193" s="711">
        <v>79</v>
      </c>
      <c r="H193" s="711">
        <v>145</v>
      </c>
      <c r="I193" s="711"/>
      <c r="J193" s="717">
        <v>1333</v>
      </c>
      <c r="K193" s="711">
        <v>103.2676</v>
      </c>
      <c r="L193" s="711">
        <v>10.053000000000001</v>
      </c>
      <c r="M193" s="711">
        <v>102</v>
      </c>
      <c r="N193" s="711">
        <v>79.5</v>
      </c>
      <c r="O193" s="712">
        <v>152</v>
      </c>
    </row>
    <row r="194" spans="1:15" s="86" customFormat="1" ht="15" x14ac:dyDescent="0.25">
      <c r="A194" s="1279"/>
      <c r="B194" s="89" t="s">
        <v>844</v>
      </c>
      <c r="C194" s="90">
        <v>1234</v>
      </c>
      <c r="D194" s="98">
        <v>0.99260000000000004</v>
      </c>
      <c r="E194" s="98">
        <v>6.4600000000000005E-2</v>
      </c>
      <c r="F194" s="98">
        <v>0.98960000000000004</v>
      </c>
      <c r="G194" s="98">
        <v>0.78749999999999998</v>
      </c>
      <c r="H194" s="98">
        <v>1.2422</v>
      </c>
      <c r="I194" s="98"/>
      <c r="J194" s="718">
        <v>1333</v>
      </c>
      <c r="K194" s="98">
        <v>0.87419999999999998</v>
      </c>
      <c r="L194" s="98">
        <v>6.7199999999999996E-2</v>
      </c>
      <c r="M194" s="98">
        <v>0.871</v>
      </c>
      <c r="N194" s="98">
        <v>0.72</v>
      </c>
      <c r="O194" s="99">
        <v>1.1701999999999999</v>
      </c>
    </row>
    <row r="195" spans="1:15" s="86" customFormat="1" ht="15" x14ac:dyDescent="0.25">
      <c r="A195" s="1277" t="s">
        <v>857</v>
      </c>
      <c r="B195" s="855" t="s">
        <v>837</v>
      </c>
      <c r="C195" s="856">
        <v>313</v>
      </c>
      <c r="D195" s="857">
        <v>61.552700000000002</v>
      </c>
      <c r="E195" s="857">
        <v>9.4519000000000002</v>
      </c>
      <c r="F195" s="857">
        <v>63</v>
      </c>
      <c r="G195" s="857">
        <v>31</v>
      </c>
      <c r="H195" s="857">
        <v>74</v>
      </c>
      <c r="I195" s="857"/>
      <c r="J195" s="858">
        <v>224</v>
      </c>
      <c r="K195" s="857">
        <v>62.075899999999997</v>
      </c>
      <c r="L195" s="857">
        <v>9.7593999999999994</v>
      </c>
      <c r="M195" s="857">
        <v>65</v>
      </c>
      <c r="N195" s="857">
        <v>27</v>
      </c>
      <c r="O195" s="710">
        <v>74</v>
      </c>
    </row>
    <row r="196" spans="1:15" s="86" customFormat="1" ht="15" x14ac:dyDescent="0.25">
      <c r="A196" s="1278"/>
      <c r="B196" s="87" t="s">
        <v>838</v>
      </c>
      <c r="C196" s="88">
        <v>313</v>
      </c>
      <c r="D196" s="711">
        <v>30.3156</v>
      </c>
      <c r="E196" s="711">
        <v>4.7041000000000004</v>
      </c>
      <c r="F196" s="711">
        <v>29.671099999999999</v>
      </c>
      <c r="G196" s="711">
        <v>19.981000000000002</v>
      </c>
      <c r="H196" s="711">
        <v>50.763500000000001</v>
      </c>
      <c r="I196" s="711"/>
      <c r="J196" s="717">
        <v>224</v>
      </c>
      <c r="K196" s="711">
        <v>31.336400000000001</v>
      </c>
      <c r="L196" s="711">
        <v>6.4714</v>
      </c>
      <c r="M196" s="711">
        <v>30.0379</v>
      </c>
      <c r="N196" s="711">
        <v>19.142900000000001</v>
      </c>
      <c r="O196" s="712">
        <v>53.089599999999997</v>
      </c>
    </row>
    <row r="197" spans="1:15" s="86" customFormat="1" ht="15" x14ac:dyDescent="0.25">
      <c r="A197" s="1278"/>
      <c r="B197" s="87" t="s">
        <v>839</v>
      </c>
      <c r="C197" s="88">
        <v>313</v>
      </c>
      <c r="D197" s="711">
        <v>91.466499999999996</v>
      </c>
      <c r="E197" s="711">
        <v>15.8866</v>
      </c>
      <c r="F197" s="711">
        <v>89.7</v>
      </c>
      <c r="G197" s="711">
        <v>53.8</v>
      </c>
      <c r="H197" s="711">
        <v>144.30000000000001</v>
      </c>
      <c r="I197" s="711"/>
      <c r="J197" s="717">
        <v>224</v>
      </c>
      <c r="K197" s="711">
        <v>80.401799999999994</v>
      </c>
      <c r="L197" s="711">
        <v>16.7041</v>
      </c>
      <c r="M197" s="711">
        <v>78.25</v>
      </c>
      <c r="N197" s="711">
        <v>48.6</v>
      </c>
      <c r="O197" s="712">
        <v>153</v>
      </c>
    </row>
    <row r="198" spans="1:15" s="86" customFormat="1" ht="15" x14ac:dyDescent="0.25">
      <c r="A198" s="1278"/>
      <c r="B198" s="87" t="s">
        <v>840</v>
      </c>
      <c r="C198" s="88">
        <v>313</v>
      </c>
      <c r="D198" s="711">
        <v>1.7357</v>
      </c>
      <c r="E198" s="711">
        <v>7.0199999999999999E-2</v>
      </c>
      <c r="F198" s="711">
        <v>1.734</v>
      </c>
      <c r="G198" s="711">
        <v>1.522</v>
      </c>
      <c r="H198" s="711">
        <v>1.9510000000000001</v>
      </c>
      <c r="I198" s="711"/>
      <c r="J198" s="717">
        <v>224</v>
      </c>
      <c r="K198" s="711">
        <v>1.6026</v>
      </c>
      <c r="L198" s="711">
        <v>5.5199999999999999E-2</v>
      </c>
      <c r="M198" s="711">
        <v>1.5980000000000001</v>
      </c>
      <c r="N198" s="711">
        <v>1.4610000000000001</v>
      </c>
      <c r="O198" s="712">
        <v>1.7470000000000001</v>
      </c>
    </row>
    <row r="199" spans="1:15" s="86" customFormat="1" ht="15" x14ac:dyDescent="0.25">
      <c r="A199" s="1278"/>
      <c r="B199" s="87" t="s">
        <v>841</v>
      </c>
      <c r="C199" s="88">
        <v>313</v>
      </c>
      <c r="D199" s="711">
        <v>104.8473</v>
      </c>
      <c r="E199" s="711">
        <v>9.2745999999999995</v>
      </c>
      <c r="F199" s="711">
        <v>103.5</v>
      </c>
      <c r="G199" s="711">
        <v>86</v>
      </c>
      <c r="H199" s="711">
        <v>143</v>
      </c>
      <c r="I199" s="711"/>
      <c r="J199" s="717">
        <v>224</v>
      </c>
      <c r="K199" s="711">
        <v>109.9286</v>
      </c>
      <c r="L199" s="711">
        <v>13.014200000000001</v>
      </c>
      <c r="M199" s="711">
        <v>108</v>
      </c>
      <c r="N199" s="711">
        <v>83</v>
      </c>
      <c r="O199" s="712">
        <v>146</v>
      </c>
    </row>
    <row r="200" spans="1:15" s="86" customFormat="1" ht="15" x14ac:dyDescent="0.25">
      <c r="A200" s="1278"/>
      <c r="B200" s="87" t="s">
        <v>843</v>
      </c>
      <c r="C200" s="88">
        <v>313</v>
      </c>
      <c r="D200" s="711">
        <v>107.5767</v>
      </c>
      <c r="E200" s="711">
        <v>12.059900000000001</v>
      </c>
      <c r="F200" s="711">
        <v>106.5</v>
      </c>
      <c r="G200" s="711">
        <v>82.5</v>
      </c>
      <c r="H200" s="711">
        <v>145.5</v>
      </c>
      <c r="I200" s="711"/>
      <c r="J200" s="717">
        <v>224</v>
      </c>
      <c r="K200" s="711">
        <v>99.941999999999993</v>
      </c>
      <c r="L200" s="711">
        <v>15.128500000000001</v>
      </c>
      <c r="M200" s="711">
        <v>99</v>
      </c>
      <c r="N200" s="711">
        <v>62.5</v>
      </c>
      <c r="O200" s="712">
        <v>137.5</v>
      </c>
    </row>
    <row r="201" spans="1:15" s="86" customFormat="1" ht="15" x14ac:dyDescent="0.25">
      <c r="A201" s="1279"/>
      <c r="B201" s="89" t="s">
        <v>844</v>
      </c>
      <c r="C201" s="90">
        <v>313</v>
      </c>
      <c r="D201" s="98">
        <v>0.97860000000000003</v>
      </c>
      <c r="E201" s="98">
        <v>5.5399999999999998E-2</v>
      </c>
      <c r="F201" s="98">
        <v>0.97970000000000002</v>
      </c>
      <c r="G201" s="98">
        <v>0.82130000000000003</v>
      </c>
      <c r="H201" s="98">
        <v>1.1496999999999999</v>
      </c>
      <c r="I201" s="98"/>
      <c r="J201" s="718">
        <v>224</v>
      </c>
      <c r="K201" s="98">
        <v>1.1083000000000001</v>
      </c>
      <c r="L201" s="98">
        <v>8.3500000000000005E-2</v>
      </c>
      <c r="M201" s="98">
        <v>1.1016999999999999</v>
      </c>
      <c r="N201" s="98">
        <v>0.86729999999999996</v>
      </c>
      <c r="O201" s="99">
        <v>1.3919999999999999</v>
      </c>
    </row>
    <row r="202" spans="1:15" s="86" customFormat="1" ht="15" x14ac:dyDescent="0.25">
      <c r="A202" s="1277" t="s">
        <v>858</v>
      </c>
      <c r="B202" s="855" t="s">
        <v>837</v>
      </c>
      <c r="C202" s="856">
        <v>219</v>
      </c>
      <c r="D202" s="857">
        <v>65.625600000000006</v>
      </c>
      <c r="E202" s="857">
        <v>6.5206999999999997</v>
      </c>
      <c r="F202" s="857">
        <v>67</v>
      </c>
      <c r="G202" s="857">
        <v>43</v>
      </c>
      <c r="H202" s="857">
        <v>74</v>
      </c>
      <c r="I202" s="857"/>
      <c r="J202" s="858">
        <v>328</v>
      </c>
      <c r="K202" s="857">
        <v>63.969499999999996</v>
      </c>
      <c r="L202" s="857">
        <v>7.5251999999999999</v>
      </c>
      <c r="M202" s="857">
        <v>66</v>
      </c>
      <c r="N202" s="857">
        <v>34</v>
      </c>
      <c r="O202" s="710">
        <v>74</v>
      </c>
    </row>
    <row r="203" spans="1:15" s="86" customFormat="1" ht="15" x14ac:dyDescent="0.25">
      <c r="A203" s="1278"/>
      <c r="B203" s="87" t="s">
        <v>838</v>
      </c>
      <c r="C203" s="88">
        <v>219</v>
      </c>
      <c r="D203" s="711">
        <v>28.513500000000001</v>
      </c>
      <c r="E203" s="711">
        <v>3.6981999999999999</v>
      </c>
      <c r="F203" s="711">
        <v>27.712900000000001</v>
      </c>
      <c r="G203" s="711">
        <v>20.539000000000001</v>
      </c>
      <c r="H203" s="711">
        <v>48.664999999999999</v>
      </c>
      <c r="I203" s="711"/>
      <c r="J203" s="717">
        <v>328</v>
      </c>
      <c r="K203" s="711">
        <v>30.079699999999999</v>
      </c>
      <c r="L203" s="711">
        <v>4.9128999999999996</v>
      </c>
      <c r="M203" s="711">
        <v>29.227</v>
      </c>
      <c r="N203" s="711">
        <v>21.752400000000002</v>
      </c>
      <c r="O203" s="712">
        <v>51.108199999999997</v>
      </c>
    </row>
    <row r="204" spans="1:15" s="86" customFormat="1" ht="15" x14ac:dyDescent="0.25">
      <c r="A204" s="1278"/>
      <c r="B204" s="87" t="s">
        <v>839</v>
      </c>
      <c r="C204" s="88">
        <v>219</v>
      </c>
      <c r="D204" s="711">
        <v>86.491299999999995</v>
      </c>
      <c r="E204" s="711">
        <v>13.431800000000001</v>
      </c>
      <c r="F204" s="711">
        <v>84.6</v>
      </c>
      <c r="G204" s="711">
        <v>61.1</v>
      </c>
      <c r="H204" s="711">
        <v>156.80000000000001</v>
      </c>
      <c r="I204" s="711"/>
      <c r="J204" s="717">
        <v>328</v>
      </c>
      <c r="K204" s="711">
        <v>77.247</v>
      </c>
      <c r="L204" s="711">
        <v>13.9534</v>
      </c>
      <c r="M204" s="711">
        <v>75.849999999999994</v>
      </c>
      <c r="N204" s="711">
        <v>52.9</v>
      </c>
      <c r="O204" s="712">
        <v>138.30000000000001</v>
      </c>
    </row>
    <row r="205" spans="1:15" s="86" customFormat="1" ht="15" x14ac:dyDescent="0.25">
      <c r="A205" s="1278"/>
      <c r="B205" s="87" t="s">
        <v>840</v>
      </c>
      <c r="C205" s="88">
        <v>219</v>
      </c>
      <c r="D205" s="711">
        <v>1.7397</v>
      </c>
      <c r="E205" s="711">
        <v>6.4500000000000002E-2</v>
      </c>
      <c r="F205" s="711">
        <v>1.7350000000000001</v>
      </c>
      <c r="G205" s="711">
        <v>1.5269999999999999</v>
      </c>
      <c r="H205" s="711">
        <v>1.95</v>
      </c>
      <c r="I205" s="711"/>
      <c r="J205" s="717">
        <v>328</v>
      </c>
      <c r="K205" s="711">
        <v>1.6013999999999999</v>
      </c>
      <c r="L205" s="711">
        <v>6.1600000000000002E-2</v>
      </c>
      <c r="M205" s="711">
        <v>1.605</v>
      </c>
      <c r="N205" s="711">
        <v>1.454</v>
      </c>
      <c r="O205" s="712">
        <v>1.788</v>
      </c>
    </row>
    <row r="206" spans="1:15" s="86" customFormat="1" ht="15" x14ac:dyDescent="0.25">
      <c r="A206" s="1278"/>
      <c r="B206" s="87" t="s">
        <v>841</v>
      </c>
      <c r="C206" s="88">
        <v>219</v>
      </c>
      <c r="D206" s="711">
        <v>101.92010000000001</v>
      </c>
      <c r="E206" s="711">
        <v>6.8404999999999996</v>
      </c>
      <c r="F206" s="711">
        <v>101.5</v>
      </c>
      <c r="G206" s="711">
        <v>90</v>
      </c>
      <c r="H206" s="711">
        <v>145</v>
      </c>
      <c r="I206" s="711"/>
      <c r="J206" s="717">
        <v>328</v>
      </c>
      <c r="K206" s="711">
        <v>108.2149</v>
      </c>
      <c r="L206" s="711">
        <v>10.293799999999999</v>
      </c>
      <c r="M206" s="711">
        <v>106.75</v>
      </c>
      <c r="N206" s="711">
        <v>88</v>
      </c>
      <c r="O206" s="712">
        <v>146.5</v>
      </c>
    </row>
    <row r="207" spans="1:15" s="86" customFormat="1" ht="15" x14ac:dyDescent="0.25">
      <c r="A207" s="1278"/>
      <c r="B207" s="87" t="s">
        <v>843</v>
      </c>
      <c r="C207" s="88">
        <v>219</v>
      </c>
      <c r="D207" s="711">
        <v>101.7397</v>
      </c>
      <c r="E207" s="711">
        <v>9.7998999999999992</v>
      </c>
      <c r="F207" s="711">
        <v>101</v>
      </c>
      <c r="G207" s="711">
        <v>80</v>
      </c>
      <c r="H207" s="711">
        <v>150</v>
      </c>
      <c r="I207" s="711"/>
      <c r="J207" s="717">
        <v>328</v>
      </c>
      <c r="K207" s="711">
        <v>95.061000000000007</v>
      </c>
      <c r="L207" s="711">
        <v>11.7082</v>
      </c>
      <c r="M207" s="711">
        <v>94</v>
      </c>
      <c r="N207" s="711">
        <v>73</v>
      </c>
      <c r="O207" s="712">
        <v>133</v>
      </c>
    </row>
    <row r="208" spans="1:15" s="86" customFormat="1" ht="15" x14ac:dyDescent="0.25">
      <c r="A208" s="1279"/>
      <c r="B208" s="89" t="s">
        <v>844</v>
      </c>
      <c r="C208" s="90">
        <v>219</v>
      </c>
      <c r="D208" s="98">
        <v>1.0056</v>
      </c>
      <c r="E208" s="98">
        <v>5.57E-2</v>
      </c>
      <c r="F208" s="98">
        <v>1.0047999999999999</v>
      </c>
      <c r="G208" s="98">
        <v>0.87390000000000001</v>
      </c>
      <c r="H208" s="98">
        <v>1.1852</v>
      </c>
      <c r="I208" s="98"/>
      <c r="J208" s="718">
        <v>328</v>
      </c>
      <c r="K208" s="98">
        <v>1.1440999999999999</v>
      </c>
      <c r="L208" s="98">
        <v>7.2099999999999997E-2</v>
      </c>
      <c r="M208" s="98">
        <v>1.1398999999999999</v>
      </c>
      <c r="N208" s="98">
        <v>0.95730000000000004</v>
      </c>
      <c r="O208" s="99">
        <v>1.3793</v>
      </c>
    </row>
    <row r="209" spans="1:15" s="86" customFormat="1" ht="15" x14ac:dyDescent="0.25">
      <c r="A209" s="1277" t="s">
        <v>433</v>
      </c>
      <c r="B209" s="855" t="s">
        <v>837</v>
      </c>
      <c r="C209" s="856">
        <v>382</v>
      </c>
      <c r="D209" s="857">
        <v>40.6</v>
      </c>
      <c r="E209" s="857">
        <v>11.26</v>
      </c>
      <c r="F209" s="857">
        <v>39.64</v>
      </c>
      <c r="G209" s="857">
        <v>24.35</v>
      </c>
      <c r="H209" s="857">
        <v>71.53</v>
      </c>
      <c r="I209" s="857"/>
      <c r="J209" s="858">
        <v>392</v>
      </c>
      <c r="K209" s="857">
        <v>41.11</v>
      </c>
      <c r="L209" s="857">
        <v>12.34</v>
      </c>
      <c r="M209" s="857">
        <v>39.78</v>
      </c>
      <c r="N209" s="857">
        <v>24.28</v>
      </c>
      <c r="O209" s="710">
        <v>74.13</v>
      </c>
    </row>
    <row r="210" spans="1:15" s="86" customFormat="1" ht="15" x14ac:dyDescent="0.25">
      <c r="A210" s="1278"/>
      <c r="B210" s="87" t="s">
        <v>838</v>
      </c>
      <c r="C210" s="88">
        <v>382</v>
      </c>
      <c r="D210" s="711">
        <v>28.61</v>
      </c>
      <c r="E210" s="711">
        <v>8.18</v>
      </c>
      <c r="F210" s="711">
        <v>26.74</v>
      </c>
      <c r="G210" s="711">
        <v>16.18</v>
      </c>
      <c r="H210" s="711">
        <v>53.35</v>
      </c>
      <c r="I210" s="711"/>
      <c r="J210" s="717">
        <v>392</v>
      </c>
      <c r="K210" s="711">
        <v>28.97</v>
      </c>
      <c r="L210" s="711">
        <v>10.15</v>
      </c>
      <c r="M210" s="711">
        <v>26.34</v>
      </c>
      <c r="N210" s="711">
        <v>15.43</v>
      </c>
      <c r="O210" s="712">
        <v>53.09</v>
      </c>
    </row>
    <row r="211" spans="1:15" s="86" customFormat="1" ht="15" x14ac:dyDescent="0.25">
      <c r="A211" s="1278"/>
      <c r="B211" s="87" t="s">
        <v>839</v>
      </c>
      <c r="C211" s="88">
        <v>382</v>
      </c>
      <c r="D211" s="711">
        <v>90.46</v>
      </c>
      <c r="E211" s="711">
        <v>27.56</v>
      </c>
      <c r="F211" s="711">
        <v>90.099000000000004</v>
      </c>
      <c r="G211" s="711">
        <v>40</v>
      </c>
      <c r="H211" s="711">
        <v>174</v>
      </c>
      <c r="I211" s="711"/>
      <c r="J211" s="717">
        <v>392</v>
      </c>
      <c r="K211" s="711">
        <v>76.930000000000007</v>
      </c>
      <c r="L211" s="711">
        <v>27.22</v>
      </c>
      <c r="M211" s="711">
        <v>71.150000000000006</v>
      </c>
      <c r="N211" s="711">
        <v>36</v>
      </c>
      <c r="O211" s="712">
        <v>153</v>
      </c>
    </row>
    <row r="212" spans="1:15" s="86" customFormat="1" ht="15" x14ac:dyDescent="0.25">
      <c r="A212" s="1278"/>
      <c r="B212" s="87" t="s">
        <v>840</v>
      </c>
      <c r="C212" s="88">
        <v>382</v>
      </c>
      <c r="D212" s="711">
        <v>177.7</v>
      </c>
      <c r="E212" s="711">
        <v>13.6</v>
      </c>
      <c r="F212" s="711">
        <v>178.6</v>
      </c>
      <c r="G212" s="711">
        <v>134.4</v>
      </c>
      <c r="H212" s="711">
        <v>218</v>
      </c>
      <c r="I212" s="711"/>
      <c r="J212" s="717">
        <v>392</v>
      </c>
      <c r="K212" s="711">
        <v>163.30000000000001</v>
      </c>
      <c r="L212" s="711">
        <v>12.51</v>
      </c>
      <c r="M212" s="711">
        <v>164.5</v>
      </c>
      <c r="N212" s="711">
        <v>110</v>
      </c>
      <c r="O212" s="712">
        <v>196</v>
      </c>
    </row>
    <row r="213" spans="1:15" s="86" customFormat="1" ht="15" x14ac:dyDescent="0.25">
      <c r="A213" s="1278"/>
      <c r="B213" s="87" t="s">
        <v>841</v>
      </c>
      <c r="C213" s="88">
        <v>382</v>
      </c>
      <c r="D213" s="711">
        <v>74.284000000000006</v>
      </c>
      <c r="E213" s="711">
        <v>46.37</v>
      </c>
      <c r="F213" s="711">
        <v>86</v>
      </c>
      <c r="G213" s="711">
        <v>6.45</v>
      </c>
      <c r="H213" s="711">
        <v>150</v>
      </c>
      <c r="I213" s="711"/>
      <c r="J213" s="717">
        <v>392</v>
      </c>
      <c r="K213" s="711">
        <v>68.69</v>
      </c>
      <c r="L213" s="711">
        <v>43.16</v>
      </c>
      <c r="M213" s="711">
        <v>73</v>
      </c>
      <c r="N213" s="711">
        <v>5.8</v>
      </c>
      <c r="O213" s="712">
        <v>140</v>
      </c>
    </row>
    <row r="214" spans="1:15" s="86" customFormat="1" ht="15" x14ac:dyDescent="0.25">
      <c r="A214" s="1278"/>
      <c r="B214" s="87" t="s">
        <v>843</v>
      </c>
      <c r="C214" s="88">
        <v>382</v>
      </c>
      <c r="D214" s="711">
        <v>77.72</v>
      </c>
      <c r="E214" s="711">
        <v>46.03</v>
      </c>
      <c r="F214" s="711">
        <v>94.5</v>
      </c>
      <c r="G214" s="711">
        <v>8.5</v>
      </c>
      <c r="H214" s="711">
        <v>153</v>
      </c>
      <c r="I214" s="711"/>
      <c r="J214" s="717">
        <v>392</v>
      </c>
      <c r="K214" s="711">
        <v>81</v>
      </c>
      <c r="L214" s="711">
        <v>48.05</v>
      </c>
      <c r="M214" s="711">
        <v>92.75</v>
      </c>
      <c r="N214" s="711">
        <v>8.3000000000000007</v>
      </c>
      <c r="O214" s="712">
        <v>162</v>
      </c>
    </row>
    <row r="215" spans="1:15" s="86" customFormat="1" ht="15" x14ac:dyDescent="0.25">
      <c r="A215" s="1279"/>
      <c r="B215" s="89" t="s">
        <v>844</v>
      </c>
      <c r="C215" s="90">
        <v>382</v>
      </c>
      <c r="D215" s="98">
        <v>0.94711999999999996</v>
      </c>
      <c r="E215" s="98">
        <v>9.9040000000000003E-2</v>
      </c>
      <c r="F215" s="98">
        <v>0.94289999999999996</v>
      </c>
      <c r="G215" s="98">
        <v>0.6825</v>
      </c>
      <c r="H215" s="98">
        <v>1.18</v>
      </c>
      <c r="I215" s="98"/>
      <c r="J215" s="718">
        <v>392</v>
      </c>
      <c r="K215" s="98">
        <v>0.83</v>
      </c>
      <c r="L215" s="98">
        <v>9.0999999999999998E-2</v>
      </c>
      <c r="M215" s="98">
        <v>0.82</v>
      </c>
      <c r="N215" s="98">
        <v>0.63</v>
      </c>
      <c r="O215" s="99">
        <v>1.204</v>
      </c>
    </row>
    <row r="216" spans="1:15" s="86" customFormat="1" ht="15" x14ac:dyDescent="0.25">
      <c r="A216" s="1286" t="s">
        <v>438</v>
      </c>
      <c r="B216" s="87" t="s">
        <v>837</v>
      </c>
      <c r="C216" s="88">
        <v>2878</v>
      </c>
      <c r="D216" s="711">
        <v>48.596249999999998</v>
      </c>
      <c r="E216" s="711">
        <v>9.3737300000000001</v>
      </c>
      <c r="F216" s="711">
        <v>48</v>
      </c>
      <c r="G216" s="711">
        <v>24</v>
      </c>
      <c r="H216" s="711">
        <v>78</v>
      </c>
      <c r="I216" s="711"/>
      <c r="J216" s="717">
        <v>3277</v>
      </c>
      <c r="K216" s="711">
        <v>48.395789999999998</v>
      </c>
      <c r="L216" s="711">
        <v>9.4376599999999993</v>
      </c>
      <c r="M216" s="711">
        <v>48</v>
      </c>
      <c r="N216" s="711">
        <v>22</v>
      </c>
      <c r="O216" s="712">
        <v>77</v>
      </c>
    </row>
    <row r="217" spans="1:15" s="86" customFormat="1" ht="15" x14ac:dyDescent="0.25">
      <c r="A217" s="1287"/>
      <c r="B217" s="87" t="s">
        <v>838</v>
      </c>
      <c r="C217" s="88">
        <v>2878</v>
      </c>
      <c r="D217" s="711">
        <v>28.402170000000002</v>
      </c>
      <c r="E217" s="711">
        <v>4.5744300000000004</v>
      </c>
      <c r="F217" s="711">
        <v>27.686599999999999</v>
      </c>
      <c r="G217" s="711">
        <v>17.294599999999999</v>
      </c>
      <c r="H217" s="711">
        <v>61.269880000000001</v>
      </c>
      <c r="I217" s="711"/>
      <c r="J217" s="717">
        <v>3277</v>
      </c>
      <c r="K217" s="711">
        <v>26.531590000000001</v>
      </c>
      <c r="L217" s="711">
        <v>5.9364699999999999</v>
      </c>
      <c r="M217" s="711">
        <v>25.059709999999999</v>
      </c>
      <c r="N217" s="711">
        <v>13.79499</v>
      </c>
      <c r="O217" s="712">
        <v>66.622619999999998</v>
      </c>
    </row>
    <row r="218" spans="1:15" s="86" customFormat="1" ht="15" x14ac:dyDescent="0.25">
      <c r="A218" s="1287"/>
      <c r="B218" s="87" t="s">
        <v>839</v>
      </c>
      <c r="C218" s="88">
        <v>2878</v>
      </c>
      <c r="D218" s="711">
        <v>88.294229999999999</v>
      </c>
      <c r="E218" s="711">
        <v>15.473039999999999</v>
      </c>
      <c r="F218" s="711">
        <v>86.183999999999997</v>
      </c>
      <c r="G218" s="711">
        <v>29.9376</v>
      </c>
      <c r="H218" s="711">
        <v>181.44</v>
      </c>
      <c r="I218" s="711"/>
      <c r="J218" s="717">
        <v>3277</v>
      </c>
      <c r="K218" s="711">
        <v>70.237819999999999</v>
      </c>
      <c r="L218" s="711">
        <v>16.12434</v>
      </c>
      <c r="M218" s="711">
        <v>66.679199999999994</v>
      </c>
      <c r="N218" s="711">
        <v>39.916800000000002</v>
      </c>
      <c r="O218" s="712">
        <v>181.44</v>
      </c>
    </row>
    <row r="219" spans="1:15" s="86" customFormat="1" ht="15" x14ac:dyDescent="0.25">
      <c r="A219" s="1287"/>
      <c r="B219" s="87" t="s">
        <v>840</v>
      </c>
      <c r="C219" s="88">
        <v>2878</v>
      </c>
      <c r="D219" s="711">
        <v>176.27229</v>
      </c>
      <c r="E219" s="711">
        <v>6.7204800000000002</v>
      </c>
      <c r="F219" s="711">
        <v>175.89500000000001</v>
      </c>
      <c r="G219" s="711">
        <v>124.46</v>
      </c>
      <c r="H219" s="711">
        <v>199.39</v>
      </c>
      <c r="I219" s="711"/>
      <c r="J219" s="717">
        <v>3277</v>
      </c>
      <c r="K219" s="711">
        <v>162.74816000000001</v>
      </c>
      <c r="L219" s="711">
        <v>6.18485</v>
      </c>
      <c r="M219" s="711">
        <v>162.56</v>
      </c>
      <c r="N219" s="711">
        <v>140.97</v>
      </c>
      <c r="O219" s="712">
        <v>184.15</v>
      </c>
    </row>
    <row r="220" spans="1:15" s="86" customFormat="1" ht="15" x14ac:dyDescent="0.25">
      <c r="A220" s="1287"/>
      <c r="B220" s="87" t="s">
        <v>841</v>
      </c>
      <c r="C220" s="88">
        <v>2878</v>
      </c>
      <c r="D220" s="711">
        <v>100.02618</v>
      </c>
      <c r="E220" s="711">
        <v>12.15774</v>
      </c>
      <c r="F220" s="711">
        <v>99.06</v>
      </c>
      <c r="G220" s="711">
        <v>63.5</v>
      </c>
      <c r="H220" s="711">
        <v>177.8</v>
      </c>
      <c r="I220" s="711"/>
      <c r="J220" s="717">
        <v>3277</v>
      </c>
      <c r="K220" s="711">
        <v>87.113780000000006</v>
      </c>
      <c r="L220" s="711">
        <v>15.52384</v>
      </c>
      <c r="M220" s="711">
        <v>84.454999999999998</v>
      </c>
      <c r="N220" s="711">
        <v>55.88</v>
      </c>
      <c r="O220" s="712">
        <v>184.15</v>
      </c>
    </row>
    <row r="221" spans="1:15" s="86" customFormat="1" ht="15" x14ac:dyDescent="0.25">
      <c r="A221" s="1287"/>
      <c r="B221" s="87" t="s">
        <v>843</v>
      </c>
      <c r="C221" s="88">
        <v>2878</v>
      </c>
      <c r="D221" s="711">
        <v>103.76134</v>
      </c>
      <c r="E221" s="711">
        <v>8.5002800000000001</v>
      </c>
      <c r="F221" s="711">
        <v>102.87</v>
      </c>
      <c r="G221" s="711">
        <v>64.77</v>
      </c>
      <c r="H221" s="711">
        <v>173.99</v>
      </c>
      <c r="I221" s="711"/>
      <c r="J221" s="717">
        <v>3277</v>
      </c>
      <c r="K221" s="711">
        <v>103.343</v>
      </c>
      <c r="L221" s="711">
        <v>12.02928</v>
      </c>
      <c r="M221" s="711">
        <v>100.965</v>
      </c>
      <c r="N221" s="711">
        <v>76.2</v>
      </c>
      <c r="O221" s="712">
        <v>184.15</v>
      </c>
    </row>
    <row r="222" spans="1:15" s="86" customFormat="1" ht="15" x14ac:dyDescent="0.25">
      <c r="A222" s="1288"/>
      <c r="B222" s="89" t="s">
        <v>844</v>
      </c>
      <c r="C222" s="90">
        <v>2878</v>
      </c>
      <c r="D222" s="98">
        <v>0.96221000000000001</v>
      </c>
      <c r="E222" s="98">
        <v>6.1710000000000001E-2</v>
      </c>
      <c r="F222" s="98">
        <v>0.96153999999999995</v>
      </c>
      <c r="G222" s="98">
        <v>0.77027000000000001</v>
      </c>
      <c r="H222" s="98">
        <v>1.31395</v>
      </c>
      <c r="I222" s="98"/>
      <c r="J222" s="718">
        <v>3277</v>
      </c>
      <c r="K222" s="98">
        <v>0.83943000000000001</v>
      </c>
      <c r="L222" s="98">
        <v>7.8149999999999997E-2</v>
      </c>
      <c r="M222" s="98">
        <v>0.83333000000000002</v>
      </c>
      <c r="N222" s="98">
        <v>0.63158000000000003</v>
      </c>
      <c r="O222" s="99">
        <v>1.1452500000000001</v>
      </c>
    </row>
    <row r="223" spans="1:15" s="86" customFormat="1" ht="15" x14ac:dyDescent="0.25">
      <c r="A223" s="1286" t="s">
        <v>859</v>
      </c>
      <c r="B223" s="855" t="s">
        <v>837</v>
      </c>
      <c r="C223" s="856">
        <v>1251</v>
      </c>
      <c r="D223" s="857">
        <v>60.135599999999997</v>
      </c>
      <c r="E223" s="857">
        <v>8.4268000000000001</v>
      </c>
      <c r="F223" s="857">
        <v>61</v>
      </c>
      <c r="G223" s="857">
        <v>28</v>
      </c>
      <c r="H223" s="857">
        <v>80</v>
      </c>
      <c r="I223" s="857"/>
      <c r="J223" s="858">
        <v>886</v>
      </c>
      <c r="K223" s="857">
        <v>62.155799999999999</v>
      </c>
      <c r="L223" s="857">
        <v>8.0667000000000009</v>
      </c>
      <c r="M223" s="857">
        <v>62.7849</v>
      </c>
      <c r="N223" s="857">
        <v>34.356200000000001</v>
      </c>
      <c r="O223" s="710">
        <v>85</v>
      </c>
    </row>
    <row r="224" spans="1:15" s="86" customFormat="1" ht="15" x14ac:dyDescent="0.25">
      <c r="A224" s="1287"/>
      <c r="B224" s="87" t="s">
        <v>838</v>
      </c>
      <c r="C224" s="88">
        <v>1251</v>
      </c>
      <c r="D224" s="711">
        <v>29.912099999999999</v>
      </c>
      <c r="E224" s="711">
        <v>4.5970000000000004</v>
      </c>
      <c r="F224" s="711">
        <v>29.5184</v>
      </c>
      <c r="G224" s="711">
        <v>18.185500000000001</v>
      </c>
      <c r="H224" s="711">
        <v>52.965699999999998</v>
      </c>
      <c r="I224" s="711"/>
      <c r="J224" s="717">
        <v>886</v>
      </c>
      <c r="K224" s="711">
        <v>31.464300000000001</v>
      </c>
      <c r="L224" s="711">
        <v>5.556</v>
      </c>
      <c r="M224" s="711">
        <v>30.871500000000001</v>
      </c>
      <c r="N224" s="711">
        <v>16.000399999999999</v>
      </c>
      <c r="O224" s="712">
        <v>53.45</v>
      </c>
    </row>
    <row r="225" spans="1:15" s="86" customFormat="1" ht="15" x14ac:dyDescent="0.25">
      <c r="A225" s="1287"/>
      <c r="B225" s="87" t="s">
        <v>839</v>
      </c>
      <c r="C225" s="88">
        <v>1251</v>
      </c>
      <c r="D225" s="711">
        <v>90.678200000000004</v>
      </c>
      <c r="E225" s="711">
        <v>15.6839</v>
      </c>
      <c r="F225" s="711">
        <v>89.3</v>
      </c>
      <c r="G225" s="711">
        <v>46.2</v>
      </c>
      <c r="H225" s="711">
        <v>167</v>
      </c>
      <c r="I225" s="711"/>
      <c r="J225" s="717">
        <v>886</v>
      </c>
      <c r="K225" s="711">
        <v>80.333799999999997</v>
      </c>
      <c r="L225" s="711">
        <v>15.2826</v>
      </c>
      <c r="M225" s="711">
        <v>77.900000000000006</v>
      </c>
      <c r="N225" s="711">
        <v>35</v>
      </c>
      <c r="O225" s="712">
        <v>143.5</v>
      </c>
    </row>
    <row r="226" spans="1:15" s="86" customFormat="1" ht="15" x14ac:dyDescent="0.25">
      <c r="A226" s="1287"/>
      <c r="B226" s="87" t="s">
        <v>840</v>
      </c>
      <c r="C226" s="88">
        <v>1251</v>
      </c>
      <c r="D226" s="711">
        <v>174.072</v>
      </c>
      <c r="E226" s="711">
        <v>6.4859</v>
      </c>
      <c r="F226" s="711">
        <v>174</v>
      </c>
      <c r="G226" s="711">
        <v>139</v>
      </c>
      <c r="H226" s="711">
        <v>197</v>
      </c>
      <c r="I226" s="711"/>
      <c r="J226" s="717">
        <v>886</v>
      </c>
      <c r="K226" s="711">
        <v>159.9084</v>
      </c>
      <c r="L226" s="711">
        <v>5.6492000000000004</v>
      </c>
      <c r="M226" s="711">
        <v>160</v>
      </c>
      <c r="N226" s="711">
        <v>141</v>
      </c>
      <c r="O226" s="712">
        <v>179</v>
      </c>
    </row>
    <row r="227" spans="1:15" s="86" customFormat="1" ht="15" x14ac:dyDescent="0.25">
      <c r="A227" s="1287"/>
      <c r="B227" s="87" t="s">
        <v>841</v>
      </c>
      <c r="C227" s="88">
        <v>1251</v>
      </c>
      <c r="D227" s="711">
        <v>105.1581</v>
      </c>
      <c r="E227" s="711">
        <v>12.092000000000001</v>
      </c>
      <c r="F227" s="711">
        <v>104</v>
      </c>
      <c r="G227" s="711">
        <v>70.5</v>
      </c>
      <c r="H227" s="711">
        <v>160</v>
      </c>
      <c r="I227" s="711"/>
      <c r="J227" s="717">
        <v>886</v>
      </c>
      <c r="K227" s="711">
        <v>98.952299999999994</v>
      </c>
      <c r="L227" s="711">
        <v>13.276</v>
      </c>
      <c r="M227" s="711">
        <v>98.5</v>
      </c>
      <c r="N227" s="711">
        <v>59</v>
      </c>
      <c r="O227" s="712">
        <v>140</v>
      </c>
    </row>
    <row r="228" spans="1:15" s="86" customFormat="1" ht="15" x14ac:dyDescent="0.25">
      <c r="A228" s="1287"/>
      <c r="B228" s="87" t="s">
        <v>843</v>
      </c>
      <c r="C228" s="88">
        <v>1251</v>
      </c>
      <c r="D228" s="711">
        <v>105.7195</v>
      </c>
      <c r="E228" s="711">
        <v>8.9306000000000001</v>
      </c>
      <c r="F228" s="711">
        <v>105</v>
      </c>
      <c r="G228" s="711">
        <v>74</v>
      </c>
      <c r="H228" s="711">
        <v>164</v>
      </c>
      <c r="I228" s="711"/>
      <c r="J228" s="717">
        <v>886</v>
      </c>
      <c r="K228" s="711">
        <v>110.5044</v>
      </c>
      <c r="L228" s="711">
        <v>11.4596</v>
      </c>
      <c r="M228" s="711">
        <v>109</v>
      </c>
      <c r="N228" s="711">
        <v>79</v>
      </c>
      <c r="O228" s="712">
        <v>147.5</v>
      </c>
    </row>
    <row r="229" spans="1:15" s="86" customFormat="1" ht="15" x14ac:dyDescent="0.25">
      <c r="A229" s="1288"/>
      <c r="B229" s="89" t="s">
        <v>844</v>
      </c>
      <c r="C229" s="90">
        <v>1251</v>
      </c>
      <c r="D229" s="98">
        <v>0.99390000000000001</v>
      </c>
      <c r="E229" s="98">
        <v>6.5699999999999995E-2</v>
      </c>
      <c r="F229" s="98">
        <v>0.99080000000000001</v>
      </c>
      <c r="G229" s="98">
        <v>0.72</v>
      </c>
      <c r="H229" s="98">
        <v>1.2423999999999999</v>
      </c>
      <c r="I229" s="98"/>
      <c r="J229" s="718">
        <v>886</v>
      </c>
      <c r="K229" s="98">
        <v>0.89470000000000005</v>
      </c>
      <c r="L229" s="98">
        <v>6.9099999999999995E-2</v>
      </c>
      <c r="M229" s="98">
        <v>0.89359999999999995</v>
      </c>
      <c r="N229" s="98">
        <v>0.61060000000000003</v>
      </c>
      <c r="O229" s="99">
        <v>1.21</v>
      </c>
    </row>
    <row r="230" spans="1:15" s="86" customFormat="1" ht="15" x14ac:dyDescent="0.25">
      <c r="A230" s="1286" t="s">
        <v>860</v>
      </c>
      <c r="B230" s="855" t="s">
        <v>837</v>
      </c>
      <c r="C230" s="856">
        <v>1198</v>
      </c>
      <c r="D230" s="857">
        <v>59.634999999999998</v>
      </c>
      <c r="E230" s="857">
        <v>8.2410999999999994</v>
      </c>
      <c r="F230" s="857">
        <v>60</v>
      </c>
      <c r="G230" s="857">
        <v>41.717799999999997</v>
      </c>
      <c r="H230" s="857">
        <v>90.912300000000002</v>
      </c>
      <c r="I230" s="857"/>
      <c r="J230" s="858">
        <v>936</v>
      </c>
      <c r="K230" s="857">
        <v>62.384300000000003</v>
      </c>
      <c r="L230" s="857">
        <v>7.5373999999999999</v>
      </c>
      <c r="M230" s="857">
        <v>63</v>
      </c>
      <c r="N230" s="857">
        <v>41.394500000000001</v>
      </c>
      <c r="O230" s="710">
        <v>89.147900000000007</v>
      </c>
    </row>
    <row r="231" spans="1:15" s="86" customFormat="1" ht="15" x14ac:dyDescent="0.25">
      <c r="A231" s="1287"/>
      <c r="B231" s="87" t="s">
        <v>838</v>
      </c>
      <c r="C231" s="88">
        <v>1198</v>
      </c>
      <c r="D231" s="711">
        <v>26.8552</v>
      </c>
      <c r="E231" s="711">
        <v>3.4863</v>
      </c>
      <c r="F231" s="711">
        <v>26.581499999999998</v>
      </c>
      <c r="G231" s="711">
        <v>19.151599999999998</v>
      </c>
      <c r="H231" s="711">
        <v>51.0749</v>
      </c>
      <c r="I231" s="711"/>
      <c r="J231" s="717">
        <v>936</v>
      </c>
      <c r="K231" s="711">
        <v>27.053699999999999</v>
      </c>
      <c r="L231" s="711">
        <v>4.3167</v>
      </c>
      <c r="M231" s="711">
        <v>26.554500000000001</v>
      </c>
      <c r="N231" s="711">
        <v>17.3</v>
      </c>
      <c r="O231" s="712">
        <v>57.2</v>
      </c>
    </row>
    <row r="232" spans="1:15" s="86" customFormat="1" ht="15" x14ac:dyDescent="0.25">
      <c r="A232" s="1287"/>
      <c r="B232" s="87" t="s">
        <v>839</v>
      </c>
      <c r="C232" s="88">
        <v>1198</v>
      </c>
      <c r="D232" s="711">
        <v>81.630600000000001</v>
      </c>
      <c r="E232" s="711">
        <v>11.9763</v>
      </c>
      <c r="F232" s="711">
        <v>80.599999999999994</v>
      </c>
      <c r="G232" s="711">
        <v>52.1</v>
      </c>
      <c r="H232" s="711">
        <v>151.1</v>
      </c>
      <c r="I232" s="711"/>
      <c r="J232" s="717">
        <v>936</v>
      </c>
      <c r="K232" s="711">
        <v>69.572100000000006</v>
      </c>
      <c r="L232" s="711">
        <v>11.478300000000001</v>
      </c>
      <c r="M232" s="711">
        <v>68.3</v>
      </c>
      <c r="N232" s="711">
        <v>43.2</v>
      </c>
      <c r="O232" s="712">
        <v>153.80000000000001</v>
      </c>
    </row>
    <row r="233" spans="1:15" s="86" customFormat="1" ht="15" x14ac:dyDescent="0.25">
      <c r="A233" s="1287"/>
      <c r="B233" s="87" t="s">
        <v>840</v>
      </c>
      <c r="C233" s="88">
        <v>1198</v>
      </c>
      <c r="D233" s="711">
        <v>174.2843</v>
      </c>
      <c r="E233" s="711">
        <v>6.3208000000000002</v>
      </c>
      <c r="F233" s="711">
        <v>174</v>
      </c>
      <c r="G233" s="711">
        <v>153</v>
      </c>
      <c r="H233" s="711">
        <v>195.3</v>
      </c>
      <c r="I233" s="711"/>
      <c r="J233" s="717">
        <v>936</v>
      </c>
      <c r="K233" s="711">
        <v>160.39439999999999</v>
      </c>
      <c r="L233" s="711">
        <v>6.0551000000000004</v>
      </c>
      <c r="M233" s="711">
        <v>160</v>
      </c>
      <c r="N233" s="711">
        <v>140</v>
      </c>
      <c r="O233" s="712">
        <v>179</v>
      </c>
    </row>
    <row r="234" spans="1:15" s="86" customFormat="1" ht="15" x14ac:dyDescent="0.25">
      <c r="A234" s="1287"/>
      <c r="B234" s="87" t="s">
        <v>841</v>
      </c>
      <c r="C234" s="88">
        <v>1198</v>
      </c>
      <c r="D234" s="711">
        <v>95.8476</v>
      </c>
      <c r="E234" s="711">
        <v>9.8803999999999998</v>
      </c>
      <c r="F234" s="711">
        <v>95</v>
      </c>
      <c r="G234" s="711">
        <v>72</v>
      </c>
      <c r="H234" s="711">
        <v>147</v>
      </c>
      <c r="I234" s="711"/>
      <c r="J234" s="717">
        <v>936</v>
      </c>
      <c r="K234" s="711">
        <v>85.6541</v>
      </c>
      <c r="L234" s="711">
        <v>10.655099999999999</v>
      </c>
      <c r="M234" s="711">
        <v>84.5</v>
      </c>
      <c r="N234" s="711">
        <v>58</v>
      </c>
      <c r="O234" s="712">
        <v>132</v>
      </c>
    </row>
    <row r="235" spans="1:15" s="86" customFormat="1" ht="15" x14ac:dyDescent="0.25">
      <c r="A235" s="1287"/>
      <c r="B235" s="87" t="s">
        <v>843</v>
      </c>
      <c r="C235" s="88">
        <v>1198</v>
      </c>
      <c r="D235" s="711">
        <v>100.34990000000001</v>
      </c>
      <c r="E235" s="711">
        <v>6.8247999999999998</v>
      </c>
      <c r="F235" s="711">
        <v>100</v>
      </c>
      <c r="G235" s="711">
        <v>81</v>
      </c>
      <c r="H235" s="711">
        <v>145</v>
      </c>
      <c r="I235" s="711"/>
      <c r="J235" s="717">
        <v>936</v>
      </c>
      <c r="K235" s="711">
        <v>102.41119999999999</v>
      </c>
      <c r="L235" s="711">
        <v>8.5318000000000005</v>
      </c>
      <c r="M235" s="711">
        <v>102</v>
      </c>
      <c r="N235" s="711">
        <v>83</v>
      </c>
      <c r="O235" s="712">
        <v>144</v>
      </c>
    </row>
    <row r="236" spans="1:15" s="86" customFormat="1" ht="15" x14ac:dyDescent="0.25">
      <c r="A236" s="1288"/>
      <c r="B236" s="89" t="s">
        <v>844</v>
      </c>
      <c r="C236" s="90">
        <v>1198</v>
      </c>
      <c r="D236" s="98">
        <v>0.95430000000000004</v>
      </c>
      <c r="E236" s="98">
        <v>6.1800000000000001E-2</v>
      </c>
      <c r="F236" s="98">
        <v>0.9536</v>
      </c>
      <c r="G236" s="98">
        <v>0.76039999999999996</v>
      </c>
      <c r="H236" s="98">
        <v>1.1207</v>
      </c>
      <c r="I236" s="98"/>
      <c r="J236" s="718">
        <v>936</v>
      </c>
      <c r="K236" s="98">
        <v>0.83530000000000004</v>
      </c>
      <c r="L236" s="98">
        <v>6.2799999999999995E-2</v>
      </c>
      <c r="M236" s="98">
        <v>0.83</v>
      </c>
      <c r="N236" s="98">
        <v>0.66669999999999996</v>
      </c>
      <c r="O236" s="99">
        <v>1.0924</v>
      </c>
    </row>
    <row r="237" spans="1:15" s="86" customFormat="1" ht="15" x14ac:dyDescent="0.25">
      <c r="A237" s="1286" t="s">
        <v>446</v>
      </c>
      <c r="B237" s="855" t="s">
        <v>837</v>
      </c>
      <c r="C237" s="856">
        <v>321</v>
      </c>
      <c r="D237" s="857">
        <v>49.56</v>
      </c>
      <c r="E237" s="857">
        <v>14.933310000000001</v>
      </c>
      <c r="F237" s="857">
        <v>50</v>
      </c>
      <c r="G237" s="857">
        <v>18</v>
      </c>
      <c r="H237" s="857">
        <v>84</v>
      </c>
      <c r="I237" s="857"/>
      <c r="J237" s="858">
        <v>445</v>
      </c>
      <c r="K237" s="857">
        <v>48.46</v>
      </c>
      <c r="L237" s="857">
        <v>15.137320000000001</v>
      </c>
      <c r="M237" s="857">
        <v>49</v>
      </c>
      <c r="N237" s="857">
        <v>18</v>
      </c>
      <c r="O237" s="710">
        <v>91</v>
      </c>
    </row>
    <row r="238" spans="1:15" s="86" customFormat="1" ht="15" x14ac:dyDescent="0.25">
      <c r="A238" s="1287"/>
      <c r="B238" s="87" t="s">
        <v>838</v>
      </c>
      <c r="C238" s="88">
        <v>320</v>
      </c>
      <c r="D238" s="711">
        <v>26.36</v>
      </c>
      <c r="E238" s="711">
        <v>3.8213870000000001</v>
      </c>
      <c r="F238" s="711">
        <v>25.66</v>
      </c>
      <c r="G238" s="711">
        <v>18.73</v>
      </c>
      <c r="H238" s="711">
        <v>40.82</v>
      </c>
      <c r="I238" s="711"/>
      <c r="J238" s="717">
        <v>445</v>
      </c>
      <c r="K238" s="711">
        <v>24.15</v>
      </c>
      <c r="L238" s="711">
        <v>4.7292610000000002</v>
      </c>
      <c r="M238" s="711">
        <v>23.44</v>
      </c>
      <c r="N238" s="711">
        <v>15.85</v>
      </c>
      <c r="O238" s="712">
        <v>46.47</v>
      </c>
    </row>
    <row r="239" spans="1:15" s="86" customFormat="1" ht="15" x14ac:dyDescent="0.25">
      <c r="A239" s="1287"/>
      <c r="B239" s="87" t="s">
        <v>839</v>
      </c>
      <c r="C239" s="88">
        <v>320</v>
      </c>
      <c r="D239" s="711">
        <v>82.15</v>
      </c>
      <c r="E239" s="711">
        <v>12.97109</v>
      </c>
      <c r="F239" s="711">
        <v>80</v>
      </c>
      <c r="G239" s="711">
        <v>51</v>
      </c>
      <c r="H239" s="711">
        <v>126</v>
      </c>
      <c r="I239" s="711"/>
      <c r="J239" s="717">
        <v>445</v>
      </c>
      <c r="K239" s="711">
        <v>64.790000000000006</v>
      </c>
      <c r="L239" s="711">
        <v>12.917759999999999</v>
      </c>
      <c r="M239" s="711">
        <v>63</v>
      </c>
      <c r="N239" s="711">
        <v>40</v>
      </c>
      <c r="O239" s="712">
        <v>125</v>
      </c>
    </row>
    <row r="240" spans="1:15" s="86" customFormat="1" ht="15" x14ac:dyDescent="0.25">
      <c r="A240" s="1287"/>
      <c r="B240" s="87" t="s">
        <v>840</v>
      </c>
      <c r="C240" s="88">
        <v>321</v>
      </c>
      <c r="D240" s="711">
        <v>176.5</v>
      </c>
      <c r="E240" s="711">
        <v>6.4537409999999999</v>
      </c>
      <c r="F240" s="711">
        <v>176</v>
      </c>
      <c r="G240" s="711">
        <v>140</v>
      </c>
      <c r="H240" s="711">
        <v>196</v>
      </c>
      <c r="I240" s="711"/>
      <c r="J240" s="717">
        <v>445</v>
      </c>
      <c r="K240" s="711">
        <v>163.9</v>
      </c>
      <c r="L240" s="711">
        <v>6.4565400000000004</v>
      </c>
      <c r="M240" s="711">
        <v>164</v>
      </c>
      <c r="N240" s="711">
        <v>140</v>
      </c>
      <c r="O240" s="712">
        <v>180</v>
      </c>
    </row>
    <row r="241" spans="1:15" s="86" customFormat="1" ht="15" x14ac:dyDescent="0.25">
      <c r="A241" s="1287"/>
      <c r="B241" s="87" t="s">
        <v>841</v>
      </c>
      <c r="C241" s="88">
        <v>321</v>
      </c>
      <c r="D241" s="711">
        <v>96.23</v>
      </c>
      <c r="E241" s="711">
        <v>12.200089999999999</v>
      </c>
      <c r="F241" s="711">
        <v>95</v>
      </c>
      <c r="G241" s="711">
        <v>58</v>
      </c>
      <c r="H241" s="711">
        <v>140</v>
      </c>
      <c r="I241" s="711"/>
      <c r="J241" s="717">
        <v>445</v>
      </c>
      <c r="K241" s="711">
        <v>82.79</v>
      </c>
      <c r="L241" s="711">
        <v>12.892340000000001</v>
      </c>
      <c r="M241" s="711">
        <v>81</v>
      </c>
      <c r="N241" s="711">
        <v>60</v>
      </c>
      <c r="O241" s="712">
        <v>129</v>
      </c>
    </row>
    <row r="242" spans="1:15" s="86" customFormat="1" ht="15" x14ac:dyDescent="0.25">
      <c r="A242" s="1287"/>
      <c r="B242" s="87" t="s">
        <v>843</v>
      </c>
      <c r="C242" s="88">
        <v>321</v>
      </c>
      <c r="D242" s="711">
        <v>104.7</v>
      </c>
      <c r="E242" s="711">
        <v>11.281079999999999</v>
      </c>
      <c r="F242" s="711">
        <v>104</v>
      </c>
      <c r="G242" s="711">
        <v>78</v>
      </c>
      <c r="H242" s="711">
        <v>163</v>
      </c>
      <c r="I242" s="711"/>
      <c r="J242" s="717">
        <v>445</v>
      </c>
      <c r="K242" s="711">
        <v>99.78</v>
      </c>
      <c r="L242" s="711">
        <v>12.42572</v>
      </c>
      <c r="M242" s="711">
        <v>99</v>
      </c>
      <c r="N242" s="711">
        <v>68</v>
      </c>
      <c r="O242" s="712">
        <v>148</v>
      </c>
    </row>
    <row r="243" spans="1:15" s="86" customFormat="1" ht="15" x14ac:dyDescent="0.25">
      <c r="A243" s="1288"/>
      <c r="B243" s="89" t="s">
        <v>844</v>
      </c>
      <c r="C243" s="90">
        <v>321</v>
      </c>
      <c r="D243" s="98">
        <v>0.92010000000000003</v>
      </c>
      <c r="E243" s="98">
        <v>7.2986830000000003E-2</v>
      </c>
      <c r="F243" s="98">
        <v>0.9304</v>
      </c>
      <c r="G243" s="98">
        <v>0.53990000000000005</v>
      </c>
      <c r="H243" s="98">
        <v>1.125</v>
      </c>
      <c r="I243" s="98"/>
      <c r="J243" s="718">
        <v>445</v>
      </c>
      <c r="K243" s="98">
        <v>0.82940000000000003</v>
      </c>
      <c r="L243" s="98">
        <v>6.7831199999999994E-2</v>
      </c>
      <c r="M243" s="98">
        <v>0.83140000000000003</v>
      </c>
      <c r="N243" s="98">
        <v>0.65449999999999997</v>
      </c>
      <c r="O243" s="99">
        <v>1.216</v>
      </c>
    </row>
    <row r="244" spans="1:15" s="86" customFormat="1" ht="15" x14ac:dyDescent="0.25">
      <c r="A244" s="1287" t="s">
        <v>861</v>
      </c>
      <c r="B244" s="87" t="s">
        <v>838</v>
      </c>
      <c r="C244" s="88">
        <v>353</v>
      </c>
      <c r="D244" s="711">
        <v>28.3</v>
      </c>
      <c r="E244" s="711">
        <v>4.8</v>
      </c>
      <c r="F244" s="711">
        <v>28</v>
      </c>
      <c r="G244" s="711">
        <v>15.2</v>
      </c>
      <c r="H244" s="711">
        <v>50.3</v>
      </c>
      <c r="I244" s="711"/>
      <c r="J244" s="717">
        <v>773</v>
      </c>
      <c r="K244" s="711">
        <v>32.200000000000003</v>
      </c>
      <c r="L244" s="711">
        <v>7.1</v>
      </c>
      <c r="M244" s="711">
        <v>31.6</v>
      </c>
      <c r="N244" s="711">
        <v>17.5</v>
      </c>
      <c r="O244" s="712">
        <v>61.4</v>
      </c>
    </row>
    <row r="245" spans="1:15" s="86" customFormat="1" ht="15" x14ac:dyDescent="0.25">
      <c r="A245" s="1287"/>
      <c r="B245" s="87" t="s">
        <v>839</v>
      </c>
      <c r="C245" s="88">
        <v>353</v>
      </c>
      <c r="D245" s="711">
        <v>89.7</v>
      </c>
      <c r="E245" s="711">
        <v>16.899999999999999</v>
      </c>
      <c r="F245" s="711">
        <v>88.1</v>
      </c>
      <c r="G245" s="711">
        <v>50.2</v>
      </c>
      <c r="H245" s="711">
        <v>174.1</v>
      </c>
      <c r="I245" s="711"/>
      <c r="J245" s="717">
        <v>773</v>
      </c>
      <c r="K245" s="711">
        <v>87.3</v>
      </c>
      <c r="L245" s="711">
        <v>19.899999999999999</v>
      </c>
      <c r="M245" s="711">
        <v>85.2</v>
      </c>
      <c r="N245" s="711">
        <v>45</v>
      </c>
      <c r="O245" s="712">
        <v>167.3</v>
      </c>
    </row>
    <row r="246" spans="1:15" s="86" customFormat="1" ht="15" x14ac:dyDescent="0.25">
      <c r="A246" s="1287"/>
      <c r="B246" s="87" t="s">
        <v>840</v>
      </c>
      <c r="C246" s="88">
        <v>353</v>
      </c>
      <c r="D246" s="711">
        <v>178</v>
      </c>
      <c r="E246" s="711">
        <v>6.9</v>
      </c>
      <c r="F246" s="711">
        <v>178.2</v>
      </c>
      <c r="G246" s="711">
        <v>149.9</v>
      </c>
      <c r="H246" s="711">
        <v>201.1</v>
      </c>
      <c r="I246" s="711"/>
      <c r="J246" s="717">
        <v>773</v>
      </c>
      <c r="K246" s="711">
        <v>164.7</v>
      </c>
      <c r="L246" s="711">
        <v>6.3</v>
      </c>
      <c r="M246" s="711">
        <v>164.8</v>
      </c>
      <c r="N246" s="711">
        <v>147.80000000000001</v>
      </c>
      <c r="O246" s="712">
        <v>187.2</v>
      </c>
    </row>
    <row r="247" spans="1:15" s="86" customFormat="1" ht="15" x14ac:dyDescent="0.25">
      <c r="A247" s="1287"/>
      <c r="B247" s="87" t="s">
        <v>841</v>
      </c>
      <c r="C247" s="88">
        <v>353</v>
      </c>
      <c r="D247" s="711">
        <v>99.3</v>
      </c>
      <c r="E247" s="711">
        <v>12</v>
      </c>
      <c r="F247" s="711">
        <v>98.5</v>
      </c>
      <c r="G247" s="711">
        <v>66.3</v>
      </c>
      <c r="H247" s="711">
        <v>150.9</v>
      </c>
      <c r="I247" s="711"/>
      <c r="J247" s="717">
        <v>773</v>
      </c>
      <c r="K247" s="711">
        <v>103.6</v>
      </c>
      <c r="L247" s="711">
        <v>18.3</v>
      </c>
      <c r="M247" s="711">
        <v>101.5</v>
      </c>
      <c r="N247" s="711">
        <v>61</v>
      </c>
      <c r="O247" s="712">
        <v>170</v>
      </c>
    </row>
    <row r="248" spans="1:15" s="86" customFormat="1" ht="15" x14ac:dyDescent="0.25">
      <c r="A248" s="1287"/>
      <c r="B248" s="87" t="s">
        <v>843</v>
      </c>
      <c r="C248" s="88">
        <v>353</v>
      </c>
      <c r="D248" s="711">
        <v>105</v>
      </c>
      <c r="E248" s="711">
        <v>10.199999999999999</v>
      </c>
      <c r="F248" s="711">
        <v>104</v>
      </c>
      <c r="G248" s="711">
        <v>76.7</v>
      </c>
      <c r="H248" s="711">
        <v>151.5</v>
      </c>
      <c r="I248" s="711"/>
      <c r="J248" s="717">
        <v>773</v>
      </c>
      <c r="K248" s="711">
        <v>116.5</v>
      </c>
      <c r="L248" s="711">
        <v>15.1</v>
      </c>
      <c r="M248" s="711">
        <v>115</v>
      </c>
      <c r="N248" s="711">
        <v>83</v>
      </c>
      <c r="O248" s="712">
        <v>190</v>
      </c>
    </row>
    <row r="249" spans="1:15" s="86" customFormat="1" ht="15" x14ac:dyDescent="0.25">
      <c r="A249" s="1288"/>
      <c r="B249" s="89" t="s">
        <v>844</v>
      </c>
      <c r="C249" s="90">
        <v>353</v>
      </c>
      <c r="D249" s="98">
        <v>0.94</v>
      </c>
      <c r="E249" s="98">
        <v>0.05</v>
      </c>
      <c r="F249" s="98">
        <v>0.95</v>
      </c>
      <c r="G249" s="98">
        <v>0.81</v>
      </c>
      <c r="H249" s="98">
        <v>1.1000000000000001</v>
      </c>
      <c r="I249" s="98"/>
      <c r="J249" s="718">
        <v>773</v>
      </c>
      <c r="K249" s="98">
        <v>0.89</v>
      </c>
      <c r="L249" s="98">
        <v>0.08</v>
      </c>
      <c r="M249" s="98">
        <v>0.88</v>
      </c>
      <c r="N249" s="98">
        <v>0.67</v>
      </c>
      <c r="O249" s="99">
        <v>1.1100000000000001</v>
      </c>
    </row>
    <row r="250" spans="1:15" s="86" customFormat="1" ht="15" x14ac:dyDescent="0.25">
      <c r="A250" s="1286" t="s">
        <v>862</v>
      </c>
      <c r="B250" s="87" t="s">
        <v>837</v>
      </c>
      <c r="C250" s="88">
        <v>672</v>
      </c>
      <c r="D250" s="711">
        <v>55.6</v>
      </c>
      <c r="E250" s="711">
        <v>10.7</v>
      </c>
      <c r="F250" s="711">
        <v>56.4</v>
      </c>
      <c r="G250" s="711">
        <v>26.9</v>
      </c>
      <c r="H250" s="711">
        <v>89.9</v>
      </c>
      <c r="I250" s="711"/>
      <c r="J250" s="717">
        <v>840</v>
      </c>
      <c r="K250" s="711">
        <v>55.1</v>
      </c>
      <c r="L250" s="711">
        <v>10.9</v>
      </c>
      <c r="M250" s="711">
        <v>55.4</v>
      </c>
      <c r="N250" s="711">
        <v>24.9</v>
      </c>
      <c r="O250" s="712">
        <v>81.8</v>
      </c>
    </row>
    <row r="251" spans="1:15" s="86" customFormat="1" ht="15" x14ac:dyDescent="0.25">
      <c r="A251" s="1287"/>
      <c r="B251" s="87" t="s">
        <v>838</v>
      </c>
      <c r="C251" s="88">
        <v>672</v>
      </c>
      <c r="D251" s="711">
        <v>30.1</v>
      </c>
      <c r="E251" s="711">
        <v>5</v>
      </c>
      <c r="F251" s="711">
        <v>29.5</v>
      </c>
      <c r="G251" s="711">
        <v>16.899999999999999</v>
      </c>
      <c r="H251" s="711">
        <v>58.3</v>
      </c>
      <c r="I251" s="711"/>
      <c r="J251" s="717">
        <v>840</v>
      </c>
      <c r="K251" s="711">
        <v>30.6</v>
      </c>
      <c r="L251" s="711">
        <v>7.3</v>
      </c>
      <c r="M251" s="711">
        <v>29.4</v>
      </c>
      <c r="N251" s="711">
        <v>15.8</v>
      </c>
      <c r="O251" s="712">
        <v>67.900000000000006</v>
      </c>
    </row>
    <row r="252" spans="1:15" s="86" customFormat="1" ht="15" x14ac:dyDescent="0.25">
      <c r="A252" s="1287"/>
      <c r="B252" s="87" t="s">
        <v>839</v>
      </c>
      <c r="C252" s="88">
        <v>672</v>
      </c>
      <c r="D252" s="711">
        <v>93.7</v>
      </c>
      <c r="E252" s="711">
        <v>17.100000000000001</v>
      </c>
      <c r="F252" s="711">
        <v>91.6</v>
      </c>
      <c r="G252" s="711">
        <v>50</v>
      </c>
      <c r="H252" s="711">
        <v>185</v>
      </c>
      <c r="I252" s="711"/>
      <c r="J252" s="717">
        <v>840</v>
      </c>
      <c r="K252" s="711">
        <v>81</v>
      </c>
      <c r="L252" s="711">
        <v>20.100000000000001</v>
      </c>
      <c r="M252" s="711">
        <v>78</v>
      </c>
      <c r="N252" s="711">
        <v>42.4</v>
      </c>
      <c r="O252" s="712">
        <v>184.8</v>
      </c>
    </row>
    <row r="253" spans="1:15" s="86" customFormat="1" ht="15" x14ac:dyDescent="0.25">
      <c r="A253" s="1287"/>
      <c r="B253" s="87" t="s">
        <v>840</v>
      </c>
      <c r="C253" s="88">
        <v>672</v>
      </c>
      <c r="D253" s="711">
        <v>176.3</v>
      </c>
      <c r="E253" s="711">
        <v>6.3</v>
      </c>
      <c r="F253" s="711">
        <v>176.3</v>
      </c>
      <c r="G253" s="711">
        <v>158.4</v>
      </c>
      <c r="H253" s="711">
        <v>197.1</v>
      </c>
      <c r="I253" s="711"/>
      <c r="J253" s="717">
        <v>840</v>
      </c>
      <c r="K253" s="711">
        <v>162.69999999999999</v>
      </c>
      <c r="L253" s="711">
        <v>6.1</v>
      </c>
      <c r="M253" s="711">
        <v>162.5</v>
      </c>
      <c r="N253" s="711">
        <v>142</v>
      </c>
      <c r="O253" s="712">
        <v>182.6</v>
      </c>
    </row>
    <row r="254" spans="1:15" s="86" customFormat="1" ht="15" x14ac:dyDescent="0.25">
      <c r="A254" s="1287"/>
      <c r="B254" s="87" t="s">
        <v>841</v>
      </c>
      <c r="C254" s="88">
        <v>672</v>
      </c>
      <c r="D254" s="711">
        <v>104.6</v>
      </c>
      <c r="E254" s="711">
        <v>11.9</v>
      </c>
      <c r="F254" s="711">
        <v>103.8</v>
      </c>
      <c r="G254" s="711">
        <v>75.400000000000006</v>
      </c>
      <c r="H254" s="711">
        <v>159.9</v>
      </c>
      <c r="I254" s="711"/>
      <c r="J254" s="717">
        <v>840</v>
      </c>
      <c r="K254" s="711">
        <v>96.4</v>
      </c>
      <c r="L254" s="711">
        <v>17.5</v>
      </c>
      <c r="M254" s="711">
        <v>94.7</v>
      </c>
      <c r="N254" s="711">
        <v>61</v>
      </c>
      <c r="O254" s="712">
        <v>168.2</v>
      </c>
    </row>
    <row r="255" spans="1:15" s="86" customFormat="1" ht="15" x14ac:dyDescent="0.25">
      <c r="A255" s="1287"/>
      <c r="B255" s="87" t="s">
        <v>843</v>
      </c>
      <c r="C255" s="88">
        <v>672</v>
      </c>
      <c r="D255" s="711">
        <v>107.7</v>
      </c>
      <c r="E255" s="711">
        <v>9.1999999999999993</v>
      </c>
      <c r="F255" s="711">
        <v>106.6</v>
      </c>
      <c r="G255" s="711">
        <v>86.9</v>
      </c>
      <c r="H255" s="711">
        <v>169</v>
      </c>
      <c r="I255" s="711"/>
      <c r="J255" s="717">
        <v>840</v>
      </c>
      <c r="K255" s="711">
        <v>111.3</v>
      </c>
      <c r="L255" s="711">
        <v>14.6</v>
      </c>
      <c r="M255" s="711">
        <v>109.8</v>
      </c>
      <c r="N255" s="711">
        <v>81.3</v>
      </c>
      <c r="O255" s="712">
        <v>191.6</v>
      </c>
    </row>
    <row r="256" spans="1:15" s="86" customFormat="1" ht="15" x14ac:dyDescent="0.25">
      <c r="A256" s="1288"/>
      <c r="B256" s="89" t="s">
        <v>844</v>
      </c>
      <c r="C256" s="90">
        <v>672</v>
      </c>
      <c r="D256" s="98">
        <v>0.97</v>
      </c>
      <c r="E256" s="98">
        <v>0.06</v>
      </c>
      <c r="F256" s="98">
        <v>0.97</v>
      </c>
      <c r="G256" s="98">
        <v>0.72</v>
      </c>
      <c r="H256" s="98">
        <v>1.18</v>
      </c>
      <c r="I256" s="98"/>
      <c r="J256" s="718">
        <v>840</v>
      </c>
      <c r="K256" s="98">
        <v>0.86</v>
      </c>
      <c r="L256" s="98">
        <v>0.09</v>
      </c>
      <c r="M256" s="98">
        <v>0.86</v>
      </c>
      <c r="N256" s="98">
        <v>0.56000000000000005</v>
      </c>
      <c r="O256" s="99">
        <v>1.29</v>
      </c>
    </row>
    <row r="257" spans="1:15" s="86" customFormat="1" ht="15" x14ac:dyDescent="0.25">
      <c r="A257" s="1286" t="s">
        <v>456</v>
      </c>
      <c r="B257" s="855" t="s">
        <v>837</v>
      </c>
      <c r="C257" s="856">
        <v>965</v>
      </c>
      <c r="D257" s="857">
        <v>39.4</v>
      </c>
      <c r="E257" s="857">
        <v>15.1</v>
      </c>
      <c r="F257" s="857">
        <v>43</v>
      </c>
      <c r="G257" s="857">
        <v>18</v>
      </c>
      <c r="H257" s="857">
        <v>61</v>
      </c>
      <c r="I257" s="857"/>
      <c r="J257" s="858">
        <v>945</v>
      </c>
      <c r="K257" s="857">
        <v>39.1</v>
      </c>
      <c r="L257" s="857">
        <v>13.9</v>
      </c>
      <c r="M257" s="857">
        <v>43</v>
      </c>
      <c r="N257" s="857">
        <v>18</v>
      </c>
      <c r="O257" s="710">
        <v>60</v>
      </c>
    </row>
    <row r="258" spans="1:15" s="86" customFormat="1" ht="15" x14ac:dyDescent="0.25">
      <c r="A258" s="1287"/>
      <c r="B258" s="87" t="s">
        <v>838</v>
      </c>
      <c r="C258" s="88">
        <v>965</v>
      </c>
      <c r="D258" s="711">
        <v>26.4</v>
      </c>
      <c r="E258" s="711">
        <v>4.3</v>
      </c>
      <c r="F258" s="711">
        <v>26.4</v>
      </c>
      <c r="G258" s="711">
        <v>17.2</v>
      </c>
      <c r="H258" s="711">
        <v>48</v>
      </c>
      <c r="I258" s="711"/>
      <c r="J258" s="717">
        <v>945</v>
      </c>
      <c r="K258" s="711">
        <v>25.8</v>
      </c>
      <c r="L258" s="711">
        <v>4.9000000000000004</v>
      </c>
      <c r="M258" s="711">
        <v>24.9</v>
      </c>
      <c r="N258" s="711">
        <v>15.1</v>
      </c>
      <c r="O258" s="712">
        <v>46.6</v>
      </c>
    </row>
    <row r="259" spans="1:15" s="86" customFormat="1" ht="15" x14ac:dyDescent="0.25">
      <c r="A259" s="1287"/>
      <c r="B259" s="87" t="s">
        <v>839</v>
      </c>
      <c r="C259" s="88">
        <v>961</v>
      </c>
      <c r="D259" s="711">
        <v>83.5</v>
      </c>
      <c r="E259" s="711">
        <v>14.3</v>
      </c>
      <c r="F259" s="711">
        <v>81.599999999999994</v>
      </c>
      <c r="G259" s="711">
        <v>53</v>
      </c>
      <c r="H259" s="711">
        <v>147</v>
      </c>
      <c r="I259" s="711"/>
      <c r="J259" s="717">
        <v>939</v>
      </c>
      <c r="K259" s="711">
        <v>69.5</v>
      </c>
      <c r="L259" s="711">
        <v>13.8</v>
      </c>
      <c r="M259" s="711">
        <v>67</v>
      </c>
      <c r="N259" s="711">
        <v>41.7</v>
      </c>
      <c r="O259" s="712">
        <v>150.9</v>
      </c>
    </row>
    <row r="260" spans="1:15" s="86" customFormat="1" ht="15" x14ac:dyDescent="0.25">
      <c r="A260" s="1287"/>
      <c r="B260" s="87" t="s">
        <v>840</v>
      </c>
      <c r="C260" s="88">
        <v>961</v>
      </c>
      <c r="D260" s="711">
        <v>177.9</v>
      </c>
      <c r="E260" s="711">
        <v>6.6</v>
      </c>
      <c r="F260" s="711">
        <v>178</v>
      </c>
      <c r="G260" s="711">
        <v>153</v>
      </c>
      <c r="H260" s="711">
        <v>200</v>
      </c>
      <c r="I260" s="711"/>
      <c r="J260" s="717">
        <v>939</v>
      </c>
      <c r="K260" s="711">
        <v>164.1</v>
      </c>
      <c r="L260" s="711">
        <v>6.4</v>
      </c>
      <c r="M260" s="711">
        <v>164</v>
      </c>
      <c r="N260" s="711">
        <v>143</v>
      </c>
      <c r="O260" s="712">
        <v>190</v>
      </c>
    </row>
    <row r="261" spans="1:15" s="86" customFormat="1" ht="15" x14ac:dyDescent="0.25">
      <c r="A261" s="1287"/>
      <c r="B261" s="87" t="s">
        <v>841</v>
      </c>
      <c r="C261" s="88">
        <v>956</v>
      </c>
      <c r="D261" s="711">
        <v>92.6</v>
      </c>
      <c r="E261" s="711">
        <v>12.1</v>
      </c>
      <c r="F261" s="711">
        <v>92</v>
      </c>
      <c r="G261" s="711">
        <v>67</v>
      </c>
      <c r="H261" s="711">
        <v>139</v>
      </c>
      <c r="I261" s="711"/>
      <c r="J261" s="717">
        <v>928</v>
      </c>
      <c r="K261" s="711">
        <v>82</v>
      </c>
      <c r="L261" s="711">
        <v>11.7</v>
      </c>
      <c r="M261" s="711">
        <v>81</v>
      </c>
      <c r="N261" s="711">
        <v>60</v>
      </c>
      <c r="O261" s="712">
        <v>130</v>
      </c>
    </row>
    <row r="262" spans="1:15" s="86" customFormat="1" ht="15" x14ac:dyDescent="0.25">
      <c r="A262" s="1287"/>
      <c r="B262" s="87" t="s">
        <v>843</v>
      </c>
      <c r="C262" s="88">
        <v>957</v>
      </c>
      <c r="D262" s="711">
        <v>103.5</v>
      </c>
      <c r="E262" s="711">
        <v>8.1999999999999993</v>
      </c>
      <c r="F262" s="711">
        <v>103</v>
      </c>
      <c r="G262" s="711">
        <v>72</v>
      </c>
      <c r="H262" s="711">
        <v>145</v>
      </c>
      <c r="I262" s="711"/>
      <c r="J262" s="717">
        <v>936</v>
      </c>
      <c r="K262" s="711">
        <v>102.8</v>
      </c>
      <c r="L262" s="711">
        <v>10.8</v>
      </c>
      <c r="M262" s="711">
        <v>102</v>
      </c>
      <c r="N262" s="711">
        <v>65</v>
      </c>
      <c r="O262" s="712">
        <v>154</v>
      </c>
    </row>
    <row r="263" spans="1:15" s="86" customFormat="1" ht="15" x14ac:dyDescent="0.25">
      <c r="A263" s="1288"/>
      <c r="B263" s="89" t="s">
        <v>844</v>
      </c>
      <c r="C263" s="90">
        <v>953</v>
      </c>
      <c r="D263" s="98">
        <v>0.9</v>
      </c>
      <c r="E263" s="98">
        <v>0.1</v>
      </c>
      <c r="F263" s="98">
        <v>0.9</v>
      </c>
      <c r="G263" s="98">
        <v>0.7</v>
      </c>
      <c r="H263" s="98">
        <v>1.1000000000000001</v>
      </c>
      <c r="I263" s="98"/>
      <c r="J263" s="718">
        <v>926</v>
      </c>
      <c r="K263" s="98">
        <v>0.8</v>
      </c>
      <c r="L263" s="98">
        <v>0.1</v>
      </c>
      <c r="M263" s="98">
        <v>0.8</v>
      </c>
      <c r="N263" s="98">
        <v>0.7</v>
      </c>
      <c r="O263" s="99">
        <v>1.1000000000000001</v>
      </c>
    </row>
    <row r="264" spans="1:15" s="86" customFormat="1" ht="15" x14ac:dyDescent="0.25">
      <c r="A264" s="1286" t="s">
        <v>461</v>
      </c>
      <c r="B264" s="87" t="s">
        <v>837</v>
      </c>
      <c r="C264" s="88">
        <v>4038</v>
      </c>
      <c r="D264" s="711">
        <v>52.500247600000002</v>
      </c>
      <c r="E264" s="711">
        <v>13.77717775</v>
      </c>
      <c r="F264" s="711">
        <v>55</v>
      </c>
      <c r="G264" s="711">
        <v>18</v>
      </c>
      <c r="H264" s="711">
        <v>99</v>
      </c>
      <c r="I264" s="711"/>
      <c r="J264" s="717">
        <v>5705</v>
      </c>
      <c r="K264" s="711">
        <v>51.906748499999999</v>
      </c>
      <c r="L264" s="711">
        <v>13.47362749</v>
      </c>
      <c r="M264" s="711">
        <v>54</v>
      </c>
      <c r="N264" s="711">
        <v>18</v>
      </c>
      <c r="O264" s="712">
        <v>95</v>
      </c>
    </row>
    <row r="265" spans="1:15" s="86" customFormat="1" ht="15" x14ac:dyDescent="0.25">
      <c r="A265" s="1287"/>
      <c r="B265" s="87" t="s">
        <v>838</v>
      </c>
      <c r="C265" s="88">
        <v>4038</v>
      </c>
      <c r="D265" s="711">
        <v>27.2082467</v>
      </c>
      <c r="E265" s="711">
        <v>4.34052536</v>
      </c>
      <c r="F265" s="711">
        <v>26.71</v>
      </c>
      <c r="G265" s="711">
        <v>16.11</v>
      </c>
      <c r="H265" s="711">
        <v>49.54</v>
      </c>
      <c r="I265" s="711"/>
      <c r="J265" s="717">
        <v>5705</v>
      </c>
      <c r="K265" s="711">
        <v>26.7985574</v>
      </c>
      <c r="L265" s="711">
        <v>5.67582655</v>
      </c>
      <c r="M265" s="711">
        <v>25.76</v>
      </c>
      <c r="N265" s="711">
        <v>13.16</v>
      </c>
      <c r="O265" s="712">
        <v>71.349999999999994</v>
      </c>
    </row>
    <row r="266" spans="1:15" s="86" customFormat="1" ht="15" x14ac:dyDescent="0.25">
      <c r="A266" s="1287"/>
      <c r="B266" s="87" t="s">
        <v>839</v>
      </c>
      <c r="C266" s="88">
        <v>4038</v>
      </c>
      <c r="D266" s="711">
        <v>84.046211</v>
      </c>
      <c r="E266" s="711">
        <v>14.434861140000001</v>
      </c>
      <c r="F266" s="711">
        <v>82.4</v>
      </c>
      <c r="G266" s="711">
        <v>48</v>
      </c>
      <c r="H266" s="711">
        <v>156.6</v>
      </c>
      <c r="I266" s="711"/>
      <c r="J266" s="717">
        <v>5705</v>
      </c>
      <c r="K266" s="711">
        <v>70.2133216</v>
      </c>
      <c r="L266" s="711">
        <v>15.174502540000001</v>
      </c>
      <c r="M266" s="711">
        <v>67.5</v>
      </c>
      <c r="N266" s="711">
        <v>31.2</v>
      </c>
      <c r="O266" s="712">
        <v>173.4</v>
      </c>
    </row>
    <row r="267" spans="1:15" s="86" customFormat="1" ht="15" x14ac:dyDescent="0.25">
      <c r="A267" s="1287"/>
      <c r="B267" s="87" t="s">
        <v>840</v>
      </c>
      <c r="C267" s="88">
        <v>4038</v>
      </c>
      <c r="D267" s="711">
        <v>175.7058692</v>
      </c>
      <c r="E267" s="711">
        <v>6.970866</v>
      </c>
      <c r="F267" s="711">
        <v>175.5</v>
      </c>
      <c r="G267" s="711">
        <v>138.5</v>
      </c>
      <c r="H267" s="711">
        <v>202.5</v>
      </c>
      <c r="I267" s="711"/>
      <c r="J267" s="717">
        <v>5705</v>
      </c>
      <c r="K267" s="711">
        <v>161.91183169999999</v>
      </c>
      <c r="L267" s="711">
        <v>6.50004034</v>
      </c>
      <c r="M267" s="711">
        <v>162</v>
      </c>
      <c r="N267" s="711">
        <v>125.5</v>
      </c>
      <c r="O267" s="712">
        <v>185.2</v>
      </c>
    </row>
    <row r="268" spans="1:15" s="86" customFormat="1" ht="15" x14ac:dyDescent="0.25">
      <c r="A268" s="1287"/>
      <c r="B268" s="87" t="s">
        <v>841</v>
      </c>
      <c r="C268" s="88">
        <v>4038</v>
      </c>
      <c r="D268" s="711">
        <v>95.844551800000005</v>
      </c>
      <c r="E268" s="711">
        <v>11.925706720000001</v>
      </c>
      <c r="F268" s="711">
        <v>95</v>
      </c>
      <c r="G268" s="711">
        <v>62</v>
      </c>
      <c r="H268" s="711">
        <v>186.5</v>
      </c>
      <c r="I268" s="711"/>
      <c r="J268" s="717">
        <v>5705</v>
      </c>
      <c r="K268" s="711">
        <v>85.965836999999993</v>
      </c>
      <c r="L268" s="711">
        <v>13.76804141</v>
      </c>
      <c r="M268" s="711">
        <v>84</v>
      </c>
      <c r="N268" s="711">
        <v>51</v>
      </c>
      <c r="O268" s="712">
        <v>176</v>
      </c>
    </row>
    <row r="269" spans="1:15" s="86" customFormat="1" ht="15" x14ac:dyDescent="0.25">
      <c r="A269" s="1287"/>
      <c r="B269" s="87" t="s">
        <v>843</v>
      </c>
      <c r="C269" s="88">
        <v>4038</v>
      </c>
      <c r="D269" s="711">
        <v>103.5497771</v>
      </c>
      <c r="E269" s="711">
        <v>8.5416552800000005</v>
      </c>
      <c r="F269" s="711">
        <v>103</v>
      </c>
      <c r="G269" s="711">
        <v>69</v>
      </c>
      <c r="H269" s="711">
        <v>188</v>
      </c>
      <c r="I269" s="711"/>
      <c r="J269" s="717">
        <v>5705</v>
      </c>
      <c r="K269" s="711">
        <v>103.6912358</v>
      </c>
      <c r="L269" s="711">
        <v>11.88557576</v>
      </c>
      <c r="M269" s="711">
        <v>102</v>
      </c>
      <c r="N269" s="711">
        <v>30.8</v>
      </c>
      <c r="O269" s="712">
        <v>180.9</v>
      </c>
    </row>
    <row r="270" spans="1:15" s="86" customFormat="1" ht="15" x14ac:dyDescent="0.25">
      <c r="A270" s="1288"/>
      <c r="B270" s="89" t="s">
        <v>844</v>
      </c>
      <c r="C270" s="90">
        <v>4038</v>
      </c>
      <c r="D270" s="98">
        <v>0.92438830000000005</v>
      </c>
      <c r="E270" s="98">
        <v>7.0683419999999997E-2</v>
      </c>
      <c r="F270" s="98">
        <v>0.92</v>
      </c>
      <c r="G270" s="98">
        <v>0.51</v>
      </c>
      <c r="H270" s="98">
        <v>1.38</v>
      </c>
      <c r="I270" s="98"/>
      <c r="J270" s="718">
        <v>5705</v>
      </c>
      <c r="K270" s="98">
        <v>0.82802629999999999</v>
      </c>
      <c r="L270" s="98">
        <v>8.4727490000000003E-2</v>
      </c>
      <c r="M270" s="98">
        <v>0.82</v>
      </c>
      <c r="N270" s="98">
        <v>0.47</v>
      </c>
      <c r="O270" s="99">
        <v>2.79</v>
      </c>
    </row>
    <row r="271" spans="1:15" s="86" customFormat="1" ht="15" x14ac:dyDescent="0.25">
      <c r="A271" s="1286" t="s">
        <v>465</v>
      </c>
      <c r="B271" s="855" t="s">
        <v>837</v>
      </c>
      <c r="C271" s="856">
        <v>1637</v>
      </c>
      <c r="D271" s="857">
        <v>49.57</v>
      </c>
      <c r="E271" s="857">
        <v>12.19</v>
      </c>
      <c r="F271" s="857">
        <v>50</v>
      </c>
      <c r="G271" s="857">
        <v>19</v>
      </c>
      <c r="H271" s="857">
        <v>72</v>
      </c>
      <c r="I271" s="857"/>
      <c r="J271" s="858">
        <v>2036</v>
      </c>
      <c r="K271" s="857">
        <v>48.29</v>
      </c>
      <c r="L271" s="857">
        <v>12.35</v>
      </c>
      <c r="M271" s="857">
        <v>49</v>
      </c>
      <c r="N271" s="857">
        <v>19</v>
      </c>
      <c r="O271" s="710">
        <v>72</v>
      </c>
    </row>
    <row r="272" spans="1:15" s="86" customFormat="1" ht="15" x14ac:dyDescent="0.25">
      <c r="A272" s="1287"/>
      <c r="B272" s="87" t="s">
        <v>838</v>
      </c>
      <c r="C272" s="88">
        <v>1637</v>
      </c>
      <c r="D272" s="711">
        <v>26.59</v>
      </c>
      <c r="E272" s="711">
        <v>4.09</v>
      </c>
      <c r="F272" s="711">
        <v>26.07</v>
      </c>
      <c r="G272" s="711">
        <v>16.47</v>
      </c>
      <c r="H272" s="711">
        <v>53.46</v>
      </c>
      <c r="I272" s="711"/>
      <c r="J272" s="717">
        <v>2036</v>
      </c>
      <c r="K272" s="711">
        <v>25.33</v>
      </c>
      <c r="L272" s="711">
        <v>4.8899999999999997</v>
      </c>
      <c r="M272" s="711">
        <v>24.29</v>
      </c>
      <c r="N272" s="711">
        <v>16.149999999999999</v>
      </c>
      <c r="O272" s="712">
        <v>52.06</v>
      </c>
    </row>
    <row r="273" spans="1:15" s="86" customFormat="1" ht="15" x14ac:dyDescent="0.25">
      <c r="A273" s="1287"/>
      <c r="B273" s="87" t="s">
        <v>839</v>
      </c>
      <c r="C273" s="88">
        <v>1637</v>
      </c>
      <c r="D273" s="711">
        <v>85.57</v>
      </c>
      <c r="E273" s="711">
        <v>14.35</v>
      </c>
      <c r="F273" s="711">
        <v>84.1</v>
      </c>
      <c r="G273" s="711">
        <v>48.4</v>
      </c>
      <c r="H273" s="711">
        <v>167.3</v>
      </c>
      <c r="I273" s="711"/>
      <c r="J273" s="717">
        <v>2036</v>
      </c>
      <c r="K273" s="711">
        <v>69.930000000000007</v>
      </c>
      <c r="L273" s="711">
        <v>13.95</v>
      </c>
      <c r="M273" s="711">
        <v>67.3</v>
      </c>
      <c r="N273" s="711">
        <v>40.200000000000003</v>
      </c>
      <c r="O273" s="712">
        <v>142.6</v>
      </c>
    </row>
    <row r="274" spans="1:15" s="86" customFormat="1" ht="15" x14ac:dyDescent="0.25">
      <c r="A274" s="1287"/>
      <c r="B274" s="87" t="s">
        <v>840</v>
      </c>
      <c r="C274" s="88">
        <v>1637</v>
      </c>
      <c r="D274" s="711">
        <v>179.33</v>
      </c>
      <c r="E274" s="711">
        <v>6.74</v>
      </c>
      <c r="F274" s="711">
        <v>179.5</v>
      </c>
      <c r="G274" s="711">
        <v>156</v>
      </c>
      <c r="H274" s="711">
        <v>203</v>
      </c>
      <c r="I274" s="711"/>
      <c r="J274" s="717">
        <v>2036</v>
      </c>
      <c r="K274" s="711">
        <v>166.21</v>
      </c>
      <c r="L274" s="711">
        <v>6.29</v>
      </c>
      <c r="M274" s="711">
        <v>166</v>
      </c>
      <c r="N274" s="711">
        <v>145.5</v>
      </c>
      <c r="O274" s="712">
        <v>188.7</v>
      </c>
    </row>
    <row r="275" spans="1:15" s="86" customFormat="1" ht="15" x14ac:dyDescent="0.25">
      <c r="A275" s="1287"/>
      <c r="B275" s="87" t="s">
        <v>841</v>
      </c>
      <c r="C275" s="88">
        <v>1637</v>
      </c>
      <c r="D275" s="711">
        <v>95.23</v>
      </c>
      <c r="E275" s="711">
        <v>11.74</v>
      </c>
      <c r="F275" s="711">
        <v>94</v>
      </c>
      <c r="G275" s="711">
        <v>62</v>
      </c>
      <c r="H275" s="711">
        <v>154</v>
      </c>
      <c r="I275" s="711"/>
      <c r="J275" s="717">
        <v>2036</v>
      </c>
      <c r="K275" s="711">
        <v>83.53</v>
      </c>
      <c r="L275" s="711">
        <v>12.32</v>
      </c>
      <c r="M275" s="711">
        <v>82</v>
      </c>
      <c r="N275" s="711">
        <v>61</v>
      </c>
      <c r="O275" s="712">
        <v>144</v>
      </c>
    </row>
    <row r="276" spans="1:15" s="86" customFormat="1" ht="15" x14ac:dyDescent="0.25">
      <c r="A276" s="1287"/>
      <c r="B276" s="87" t="s">
        <v>843</v>
      </c>
      <c r="C276" s="88">
        <v>1637</v>
      </c>
      <c r="D276" s="711">
        <v>101.57</v>
      </c>
      <c r="E276" s="711">
        <v>7.52</v>
      </c>
      <c r="F276" s="711">
        <v>101</v>
      </c>
      <c r="G276" s="711">
        <v>78</v>
      </c>
      <c r="H276" s="711">
        <v>170</v>
      </c>
      <c r="I276" s="711"/>
      <c r="J276" s="717">
        <v>2036</v>
      </c>
      <c r="K276" s="711">
        <v>101.95</v>
      </c>
      <c r="L276" s="711">
        <v>9.91</v>
      </c>
      <c r="M276" s="711">
        <v>101</v>
      </c>
      <c r="N276" s="711">
        <v>78</v>
      </c>
      <c r="O276" s="712">
        <v>154</v>
      </c>
    </row>
    <row r="277" spans="1:15" s="86" customFormat="1" ht="15" x14ac:dyDescent="0.25">
      <c r="A277" s="1288"/>
      <c r="B277" s="89" t="s">
        <v>844</v>
      </c>
      <c r="C277" s="90">
        <v>1637</v>
      </c>
      <c r="D277" s="98">
        <v>0.94</v>
      </c>
      <c r="E277" s="98">
        <v>7.0000000000000007E-2</v>
      </c>
      <c r="F277" s="98">
        <v>0.93</v>
      </c>
      <c r="G277" s="98">
        <v>0.75</v>
      </c>
      <c r="H277" s="98">
        <v>1.29</v>
      </c>
      <c r="I277" s="98"/>
      <c r="J277" s="718">
        <v>2036</v>
      </c>
      <c r="K277" s="98">
        <v>0.82</v>
      </c>
      <c r="L277" s="98">
        <v>7.0000000000000007E-2</v>
      </c>
      <c r="M277" s="98">
        <v>0.81</v>
      </c>
      <c r="N277" s="98">
        <v>0.65</v>
      </c>
      <c r="O277" s="99">
        <v>1.18</v>
      </c>
    </row>
    <row r="278" spans="1:15" s="86" customFormat="1" ht="15" x14ac:dyDescent="0.25">
      <c r="A278" s="1286" t="s">
        <v>469</v>
      </c>
      <c r="B278" s="855" t="s">
        <v>837</v>
      </c>
      <c r="C278" s="856">
        <v>401</v>
      </c>
      <c r="D278" s="857">
        <v>57.977559999999997</v>
      </c>
      <c r="E278" s="857">
        <v>20.814589999999999</v>
      </c>
      <c r="F278" s="857">
        <v>62</v>
      </c>
      <c r="G278" s="857">
        <v>18</v>
      </c>
      <c r="H278" s="857">
        <v>96</v>
      </c>
      <c r="I278" s="857"/>
      <c r="J278" s="858">
        <v>532</v>
      </c>
      <c r="K278" s="857">
        <v>62.19173</v>
      </c>
      <c r="L278" s="857">
        <v>18.912649999999999</v>
      </c>
      <c r="M278" s="857">
        <v>67</v>
      </c>
      <c r="N278" s="857">
        <v>18</v>
      </c>
      <c r="O278" s="710">
        <v>97</v>
      </c>
    </row>
    <row r="279" spans="1:15" s="86" customFormat="1" ht="15" x14ac:dyDescent="0.25">
      <c r="A279" s="1287"/>
      <c r="B279" s="87" t="s">
        <v>838</v>
      </c>
      <c r="C279" s="88">
        <v>401</v>
      </c>
      <c r="D279" s="711">
        <v>29.34883</v>
      </c>
      <c r="E279" s="711">
        <v>4.5029979999999998</v>
      </c>
      <c r="F279" s="711">
        <v>28.915400000000002</v>
      </c>
      <c r="G279" s="711">
        <v>16.980180000000001</v>
      </c>
      <c r="H279" s="711">
        <v>46.784370000000003</v>
      </c>
      <c r="I279" s="711"/>
      <c r="J279" s="717">
        <v>532</v>
      </c>
      <c r="K279" s="711">
        <v>29.467700000000001</v>
      </c>
      <c r="L279" s="711">
        <v>5.5601929999999999</v>
      </c>
      <c r="M279" s="711">
        <v>29.144390000000001</v>
      </c>
      <c r="N279" s="711">
        <v>17.30612</v>
      </c>
      <c r="O279" s="712">
        <v>50.112160000000003</v>
      </c>
    </row>
    <row r="280" spans="1:15" s="86" customFormat="1" ht="15" x14ac:dyDescent="0.25">
      <c r="A280" s="1287"/>
      <c r="B280" s="87" t="s">
        <v>839</v>
      </c>
      <c r="C280" s="88">
        <v>401</v>
      </c>
      <c r="D280" s="711">
        <v>84.836659999999995</v>
      </c>
      <c r="E280" s="711">
        <v>14.50919</v>
      </c>
      <c r="F280" s="711">
        <v>83.7</v>
      </c>
      <c r="G280" s="711">
        <v>50</v>
      </c>
      <c r="H280" s="711">
        <v>147.4</v>
      </c>
      <c r="I280" s="711"/>
      <c r="J280" s="717">
        <v>532</v>
      </c>
      <c r="K280" s="711">
        <v>72.275189999999995</v>
      </c>
      <c r="L280" s="711">
        <v>13.922610000000001</v>
      </c>
      <c r="M280" s="711">
        <v>71</v>
      </c>
      <c r="N280" s="711">
        <v>38.700000000000003</v>
      </c>
      <c r="O280" s="712">
        <v>133.1</v>
      </c>
    </row>
    <row r="281" spans="1:15" s="86" customFormat="1" ht="15" x14ac:dyDescent="0.25">
      <c r="A281" s="1287"/>
      <c r="B281" s="87" t="s">
        <v>840</v>
      </c>
      <c r="C281" s="88">
        <v>401</v>
      </c>
      <c r="D281" s="711">
        <v>169.95410000000001</v>
      </c>
      <c r="E281" s="711">
        <v>7.6745739999999998</v>
      </c>
      <c r="F281" s="711">
        <v>170</v>
      </c>
      <c r="G281" s="711">
        <v>149</v>
      </c>
      <c r="H281" s="711">
        <v>192</v>
      </c>
      <c r="I281" s="711"/>
      <c r="J281" s="717">
        <v>532</v>
      </c>
      <c r="K281" s="711">
        <v>156.744</v>
      </c>
      <c r="L281" s="711">
        <v>7.198029</v>
      </c>
      <c r="M281" s="711">
        <v>156</v>
      </c>
      <c r="N281" s="711">
        <v>135</v>
      </c>
      <c r="O281" s="712">
        <v>175</v>
      </c>
    </row>
    <row r="282" spans="1:15" s="86" customFormat="1" ht="15" x14ac:dyDescent="0.25">
      <c r="A282" s="1287"/>
      <c r="B282" s="87" t="s">
        <v>841</v>
      </c>
      <c r="C282" s="88">
        <v>401</v>
      </c>
      <c r="D282" s="711">
        <v>102.3192</v>
      </c>
      <c r="E282" s="711">
        <v>12.20341</v>
      </c>
      <c r="F282" s="711">
        <v>102</v>
      </c>
      <c r="G282" s="711">
        <v>58.3</v>
      </c>
      <c r="H282" s="711">
        <v>137</v>
      </c>
      <c r="I282" s="711"/>
      <c r="J282" s="717">
        <v>532</v>
      </c>
      <c r="K282" s="711">
        <v>95.275379999999998</v>
      </c>
      <c r="L282" s="711">
        <v>13.7691</v>
      </c>
      <c r="M282" s="711">
        <v>97</v>
      </c>
      <c r="N282" s="711">
        <v>60</v>
      </c>
      <c r="O282" s="712">
        <v>132</v>
      </c>
    </row>
    <row r="283" spans="1:15" s="86" customFormat="1" ht="15" x14ac:dyDescent="0.25">
      <c r="A283" s="1287"/>
      <c r="B283" s="87" t="s">
        <v>843</v>
      </c>
      <c r="C283" s="88">
        <v>401</v>
      </c>
      <c r="D283" s="711">
        <v>106.2209</v>
      </c>
      <c r="E283" s="711">
        <v>8.7373770000000004</v>
      </c>
      <c r="F283" s="711">
        <v>105.5</v>
      </c>
      <c r="G283" s="711">
        <v>73.3</v>
      </c>
      <c r="H283" s="711">
        <v>143</v>
      </c>
      <c r="I283" s="711"/>
      <c r="J283" s="717">
        <v>532</v>
      </c>
      <c r="K283" s="711">
        <v>109.02460000000001</v>
      </c>
      <c r="L283" s="711">
        <v>11.242240000000001</v>
      </c>
      <c r="M283" s="711">
        <v>107.75</v>
      </c>
      <c r="N283" s="711">
        <v>80</v>
      </c>
      <c r="O283" s="712">
        <v>159</v>
      </c>
    </row>
    <row r="284" spans="1:15" s="86" customFormat="1" ht="15" x14ac:dyDescent="0.25">
      <c r="A284" s="1288"/>
      <c r="B284" s="89" t="s">
        <v>844</v>
      </c>
      <c r="C284" s="90">
        <v>401</v>
      </c>
      <c r="D284" s="98">
        <v>0.96289860000000005</v>
      </c>
      <c r="E284" s="98">
        <v>7.9055189999999997E-2</v>
      </c>
      <c r="F284" s="98">
        <v>0.97272729999999996</v>
      </c>
      <c r="G284" s="98">
        <v>0.60103090000000003</v>
      </c>
      <c r="H284" s="98">
        <v>1.181818</v>
      </c>
      <c r="I284" s="98"/>
      <c r="J284" s="718">
        <v>532</v>
      </c>
      <c r="K284" s="98">
        <v>0.87399800000000005</v>
      </c>
      <c r="L284" s="98">
        <v>9.4220390000000001E-2</v>
      </c>
      <c r="M284" s="98">
        <v>0.88029100000000005</v>
      </c>
      <c r="N284" s="98">
        <v>0.63366339999999999</v>
      </c>
      <c r="O284" s="99">
        <v>1.168539</v>
      </c>
    </row>
    <row r="285" spans="1:15" s="86" customFormat="1" ht="15" x14ac:dyDescent="0.25">
      <c r="A285" s="1286" t="s">
        <v>475</v>
      </c>
      <c r="B285" s="855" t="s">
        <v>837</v>
      </c>
      <c r="C285" s="856">
        <v>240</v>
      </c>
      <c r="D285" s="857">
        <v>48.1875</v>
      </c>
      <c r="E285" s="857">
        <v>13.893879999999999</v>
      </c>
      <c r="F285" s="857">
        <v>48</v>
      </c>
      <c r="G285" s="857">
        <v>18</v>
      </c>
      <c r="H285" s="857">
        <v>87</v>
      </c>
      <c r="I285" s="857"/>
      <c r="J285" s="858">
        <v>601</v>
      </c>
      <c r="K285" s="857">
        <v>41.570720000000001</v>
      </c>
      <c r="L285" s="857">
        <v>13.28566</v>
      </c>
      <c r="M285" s="857">
        <v>41</v>
      </c>
      <c r="N285" s="857">
        <v>18</v>
      </c>
      <c r="O285" s="710">
        <v>77</v>
      </c>
    </row>
    <row r="286" spans="1:15" s="86" customFormat="1" ht="15" x14ac:dyDescent="0.25">
      <c r="A286" s="1287"/>
      <c r="B286" s="87" t="s">
        <v>838</v>
      </c>
      <c r="C286" s="88">
        <v>240</v>
      </c>
      <c r="D286" s="711">
        <v>26.694179999999999</v>
      </c>
      <c r="E286" s="711">
        <v>4.1412950000000004</v>
      </c>
      <c r="F286" s="711">
        <v>26.434930000000001</v>
      </c>
      <c r="G286" s="711">
        <v>18.7883</v>
      </c>
      <c r="H286" s="711">
        <v>38.578760000000003</v>
      </c>
      <c r="I286" s="711"/>
      <c r="J286" s="717">
        <v>601</v>
      </c>
      <c r="K286" s="711">
        <v>28.28379</v>
      </c>
      <c r="L286" s="711">
        <v>5.7035210000000003</v>
      </c>
      <c r="M286" s="711">
        <v>27.85201</v>
      </c>
      <c r="N286" s="711">
        <v>16.63353</v>
      </c>
      <c r="O286" s="712">
        <v>47.466430000000003</v>
      </c>
    </row>
    <row r="287" spans="1:15" s="86" customFormat="1" ht="15" x14ac:dyDescent="0.25">
      <c r="A287" s="1287"/>
      <c r="B287" s="87" t="s">
        <v>839</v>
      </c>
      <c r="C287" s="88">
        <v>240</v>
      </c>
      <c r="D287" s="711">
        <v>79.395830000000004</v>
      </c>
      <c r="E287" s="711">
        <v>13.636939999999999</v>
      </c>
      <c r="F287" s="711">
        <v>79</v>
      </c>
      <c r="G287" s="711">
        <v>51</v>
      </c>
      <c r="H287" s="711">
        <v>122</v>
      </c>
      <c r="I287" s="711"/>
      <c r="J287" s="717">
        <v>601</v>
      </c>
      <c r="K287" s="711">
        <v>70.891850000000005</v>
      </c>
      <c r="L287" s="711">
        <v>14.13795</v>
      </c>
      <c r="M287" s="711">
        <v>70</v>
      </c>
      <c r="N287" s="711">
        <v>40</v>
      </c>
      <c r="O287" s="712">
        <v>126</v>
      </c>
    </row>
    <row r="288" spans="1:15" s="86" customFormat="1" ht="15" x14ac:dyDescent="0.25">
      <c r="A288" s="1287"/>
      <c r="B288" s="87" t="s">
        <v>840</v>
      </c>
      <c r="C288" s="88">
        <v>240</v>
      </c>
      <c r="D288" s="711">
        <v>172.42080000000001</v>
      </c>
      <c r="E288" s="711">
        <v>7.6662869999999996</v>
      </c>
      <c r="F288" s="711">
        <v>172</v>
      </c>
      <c r="G288" s="711">
        <v>152</v>
      </c>
      <c r="H288" s="711">
        <v>196</v>
      </c>
      <c r="I288" s="711"/>
      <c r="J288" s="717">
        <v>601</v>
      </c>
      <c r="K288" s="711">
        <v>158.53710000000001</v>
      </c>
      <c r="L288" s="711">
        <v>6.8337599999999998</v>
      </c>
      <c r="M288" s="711">
        <v>158</v>
      </c>
      <c r="N288" s="711">
        <v>133</v>
      </c>
      <c r="O288" s="712">
        <v>181</v>
      </c>
    </row>
    <row r="289" spans="1:15" s="86" customFormat="1" ht="15" x14ac:dyDescent="0.25">
      <c r="A289" s="1287"/>
      <c r="B289" s="87" t="s">
        <v>841</v>
      </c>
      <c r="C289" s="88">
        <v>240</v>
      </c>
      <c r="D289" s="711">
        <v>94.820830000000001</v>
      </c>
      <c r="E289" s="711">
        <v>12.38813</v>
      </c>
      <c r="F289" s="711">
        <v>95</v>
      </c>
      <c r="G289" s="711">
        <v>52</v>
      </c>
      <c r="H289" s="711">
        <v>126</v>
      </c>
      <c r="I289" s="711"/>
      <c r="J289" s="717">
        <v>601</v>
      </c>
      <c r="K289" s="711">
        <v>88.622129999999999</v>
      </c>
      <c r="L289" s="711">
        <v>14.831569999999999</v>
      </c>
      <c r="M289" s="711">
        <v>88</v>
      </c>
      <c r="N289" s="711">
        <v>58</v>
      </c>
      <c r="O289" s="712">
        <v>147</v>
      </c>
    </row>
    <row r="290" spans="1:15" s="86" customFormat="1" ht="15" x14ac:dyDescent="0.25">
      <c r="A290" s="1287"/>
      <c r="B290" s="87" t="s">
        <v>843</v>
      </c>
      <c r="C290" s="88">
        <v>240</v>
      </c>
      <c r="D290" s="711">
        <v>102.0958</v>
      </c>
      <c r="E290" s="711">
        <v>7.518122</v>
      </c>
      <c r="F290" s="711">
        <v>102</v>
      </c>
      <c r="G290" s="711">
        <v>85</v>
      </c>
      <c r="H290" s="711">
        <v>122</v>
      </c>
      <c r="I290" s="711"/>
      <c r="J290" s="717">
        <v>601</v>
      </c>
      <c r="K290" s="711">
        <v>107.2379</v>
      </c>
      <c r="L290" s="711">
        <v>11.171279999999999</v>
      </c>
      <c r="M290" s="711">
        <v>107</v>
      </c>
      <c r="N290" s="711">
        <v>75</v>
      </c>
      <c r="O290" s="712">
        <v>150</v>
      </c>
    </row>
    <row r="291" spans="1:15" s="86" customFormat="1" ht="15" x14ac:dyDescent="0.25">
      <c r="A291" s="1288"/>
      <c r="B291" s="89" t="s">
        <v>844</v>
      </c>
      <c r="C291" s="90">
        <v>240</v>
      </c>
      <c r="D291" s="98">
        <v>0.92712660000000002</v>
      </c>
      <c r="E291" s="98">
        <v>8.4663710000000003E-2</v>
      </c>
      <c r="F291" s="98">
        <v>0.92592589999999997</v>
      </c>
      <c r="G291" s="98">
        <v>0.57777780000000001</v>
      </c>
      <c r="H291" s="98">
        <v>1.129032</v>
      </c>
      <c r="I291" s="98"/>
      <c r="J291" s="718">
        <v>601</v>
      </c>
      <c r="K291" s="98">
        <v>0.82393459999999996</v>
      </c>
      <c r="L291" s="98">
        <v>8.7385989999999997E-2</v>
      </c>
      <c r="M291" s="98">
        <v>0.81481479999999995</v>
      </c>
      <c r="N291" s="98">
        <v>0.64516130000000005</v>
      </c>
      <c r="O291" s="99">
        <v>1.195122</v>
      </c>
    </row>
    <row r="292" spans="1:15" s="86" customFormat="1" ht="15" x14ac:dyDescent="0.25">
      <c r="A292" s="1286" t="s">
        <v>478</v>
      </c>
      <c r="B292" s="855" t="s">
        <v>837</v>
      </c>
      <c r="C292" s="856">
        <v>8346</v>
      </c>
      <c r="D292" s="857">
        <v>55.539180445722501</v>
      </c>
      <c r="E292" s="857">
        <v>13.5068306532397</v>
      </c>
      <c r="F292" s="857">
        <v>55</v>
      </c>
      <c r="G292" s="857">
        <v>0</v>
      </c>
      <c r="H292" s="857">
        <v>95</v>
      </c>
      <c r="I292" s="857"/>
      <c r="J292" s="858">
        <v>6768</v>
      </c>
      <c r="K292" s="857">
        <v>55.996306146572103</v>
      </c>
      <c r="L292" s="857">
        <v>14.690536666219799</v>
      </c>
      <c r="M292" s="857">
        <v>55</v>
      </c>
      <c r="N292" s="857">
        <v>20</v>
      </c>
      <c r="O292" s="710">
        <v>93</v>
      </c>
    </row>
    <row r="293" spans="1:15" s="86" customFormat="1" ht="15" x14ac:dyDescent="0.25">
      <c r="A293" s="1287"/>
      <c r="B293" s="87" t="s">
        <v>838</v>
      </c>
      <c r="C293" s="88">
        <v>8322</v>
      </c>
      <c r="D293" s="711">
        <v>26.647440519105999</v>
      </c>
      <c r="E293" s="711">
        <v>3.4529900529279201</v>
      </c>
      <c r="F293" s="711">
        <v>26.3</v>
      </c>
      <c r="G293" s="711">
        <v>15</v>
      </c>
      <c r="H293" s="711">
        <v>47.8</v>
      </c>
      <c r="I293" s="711"/>
      <c r="J293" s="717">
        <v>6717</v>
      </c>
      <c r="K293" s="711">
        <v>26.836757481018299</v>
      </c>
      <c r="L293" s="711">
        <v>4.6274952957963196</v>
      </c>
      <c r="M293" s="711">
        <v>26.2</v>
      </c>
      <c r="N293" s="711">
        <v>14.8</v>
      </c>
      <c r="O293" s="712">
        <v>52.8</v>
      </c>
    </row>
    <row r="294" spans="1:15" s="86" customFormat="1" ht="15" x14ac:dyDescent="0.25">
      <c r="A294" s="1287"/>
      <c r="B294" s="87" t="s">
        <v>839</v>
      </c>
      <c r="C294" s="88">
        <v>8322</v>
      </c>
      <c r="D294" s="711">
        <v>83.1755587599135</v>
      </c>
      <c r="E294" s="711">
        <v>12.226913642276701</v>
      </c>
      <c r="F294" s="711">
        <v>82</v>
      </c>
      <c r="G294" s="711">
        <v>43.5</v>
      </c>
      <c r="H294" s="711">
        <v>150</v>
      </c>
      <c r="I294" s="711"/>
      <c r="J294" s="717">
        <v>6718</v>
      </c>
      <c r="K294" s="711">
        <v>71.404659124739496</v>
      </c>
      <c r="L294" s="711">
        <v>12.7824013687</v>
      </c>
      <c r="M294" s="711">
        <v>69.5</v>
      </c>
      <c r="N294" s="711">
        <v>36.5</v>
      </c>
      <c r="O294" s="712">
        <v>144.5</v>
      </c>
    </row>
    <row r="295" spans="1:15" s="86" customFormat="1" ht="15" x14ac:dyDescent="0.25">
      <c r="A295" s="1287"/>
      <c r="B295" s="87" t="s">
        <v>840</v>
      </c>
      <c r="C295" s="88">
        <v>8328</v>
      </c>
      <c r="D295" s="711">
        <v>176.58417387127801</v>
      </c>
      <c r="E295" s="711">
        <v>6.4836955826394602</v>
      </c>
      <c r="F295" s="711">
        <v>176</v>
      </c>
      <c r="G295" s="711">
        <v>149</v>
      </c>
      <c r="H295" s="711">
        <v>202</v>
      </c>
      <c r="I295" s="711"/>
      <c r="J295" s="717">
        <v>6726</v>
      </c>
      <c r="K295" s="711">
        <v>163.132173654475</v>
      </c>
      <c r="L295" s="711">
        <v>6.1225100863775701</v>
      </c>
      <c r="M295" s="711">
        <v>163</v>
      </c>
      <c r="N295" s="711">
        <v>136</v>
      </c>
      <c r="O295" s="712">
        <v>189</v>
      </c>
    </row>
    <row r="296" spans="1:15" s="86" customFormat="1" ht="15" x14ac:dyDescent="0.25">
      <c r="A296" s="1288"/>
      <c r="B296" s="89" t="s">
        <v>844</v>
      </c>
      <c r="C296" s="90">
        <v>8314</v>
      </c>
      <c r="D296" s="98">
        <v>0.90386850200261304</v>
      </c>
      <c r="E296" s="98">
        <v>5.6708650522473598E-2</v>
      </c>
      <c r="F296" s="98">
        <v>0.9</v>
      </c>
      <c r="G296" s="98">
        <v>0.61290322580645196</v>
      </c>
      <c r="H296" s="98">
        <v>1.24742268041237</v>
      </c>
      <c r="I296" s="98"/>
      <c r="J296" s="718">
        <v>6688</v>
      </c>
      <c r="K296" s="98">
        <v>0.80610191781557405</v>
      </c>
      <c r="L296" s="98">
        <v>6.1640399504570197E-2</v>
      </c>
      <c r="M296" s="98">
        <v>0.80198019801980203</v>
      </c>
      <c r="N296" s="98">
        <v>0.59090909090909105</v>
      </c>
      <c r="O296" s="99">
        <v>1.31944444444444</v>
      </c>
    </row>
    <row r="297" spans="1:15" s="86" customFormat="1" ht="15" x14ac:dyDescent="0.25">
      <c r="A297" s="1286" t="s">
        <v>484</v>
      </c>
      <c r="B297" s="855" t="s">
        <v>837</v>
      </c>
      <c r="C297" s="856">
        <v>2897</v>
      </c>
      <c r="D297" s="857">
        <v>46.66</v>
      </c>
      <c r="E297" s="857">
        <v>7.83</v>
      </c>
      <c r="F297" s="857">
        <v>45.2</v>
      </c>
      <c r="G297" s="857">
        <v>29.92</v>
      </c>
      <c r="H297" s="857">
        <v>61.12</v>
      </c>
      <c r="I297" s="857"/>
      <c r="J297" s="858">
        <v>3080</v>
      </c>
      <c r="K297" s="857">
        <v>45.86</v>
      </c>
      <c r="L297" s="857">
        <v>7.98</v>
      </c>
      <c r="M297" s="857">
        <v>45.06</v>
      </c>
      <c r="N297" s="857">
        <v>29.69</v>
      </c>
      <c r="O297" s="710">
        <v>61.35</v>
      </c>
    </row>
    <row r="298" spans="1:15" s="86" customFormat="1" ht="15" x14ac:dyDescent="0.25">
      <c r="A298" s="1287"/>
      <c r="B298" s="87" t="s">
        <v>838</v>
      </c>
      <c r="C298" s="88">
        <v>2897</v>
      </c>
      <c r="D298" s="711">
        <v>26.85</v>
      </c>
      <c r="E298" s="711">
        <v>4.05</v>
      </c>
      <c r="F298" s="711">
        <v>26.34</v>
      </c>
      <c r="G298" s="711">
        <v>16.73</v>
      </c>
      <c r="H298" s="711">
        <v>56.9</v>
      </c>
      <c r="I298" s="711"/>
      <c r="J298" s="717">
        <v>3080</v>
      </c>
      <c r="K298" s="711">
        <v>25.78</v>
      </c>
      <c r="L298" s="711">
        <v>5.07</v>
      </c>
      <c r="M298" s="711">
        <v>24.66</v>
      </c>
      <c r="N298" s="711">
        <v>15.24</v>
      </c>
      <c r="O298" s="712">
        <v>55.75</v>
      </c>
    </row>
    <row r="299" spans="1:15" s="86" customFormat="1" ht="15" x14ac:dyDescent="0.25">
      <c r="A299" s="1287"/>
      <c r="B299" s="87" t="s">
        <v>839</v>
      </c>
      <c r="C299" s="88">
        <v>2897</v>
      </c>
      <c r="D299" s="711">
        <v>85.97</v>
      </c>
      <c r="E299" s="711">
        <v>14.08</v>
      </c>
      <c r="F299" s="711">
        <v>84.4</v>
      </c>
      <c r="G299" s="711">
        <v>53</v>
      </c>
      <c r="H299" s="711">
        <v>183</v>
      </c>
      <c r="I299" s="711"/>
      <c r="J299" s="717">
        <v>3080</v>
      </c>
      <c r="K299" s="711">
        <v>71.06</v>
      </c>
      <c r="L299" s="711">
        <v>14.61</v>
      </c>
      <c r="M299" s="711">
        <v>68.400000000000006</v>
      </c>
      <c r="N299" s="711">
        <v>40.5</v>
      </c>
      <c r="O299" s="712">
        <v>152.19999999999999</v>
      </c>
    </row>
    <row r="300" spans="1:15" s="86" customFormat="1" ht="15" x14ac:dyDescent="0.25">
      <c r="A300" s="1287"/>
      <c r="B300" s="87" t="s">
        <v>840</v>
      </c>
      <c r="C300" s="88">
        <v>2897</v>
      </c>
      <c r="D300" s="711">
        <v>178.88</v>
      </c>
      <c r="E300" s="711">
        <v>6.79</v>
      </c>
      <c r="F300" s="711">
        <v>179</v>
      </c>
      <c r="G300" s="711">
        <v>157.5</v>
      </c>
      <c r="H300" s="711">
        <v>207</v>
      </c>
      <c r="I300" s="711"/>
      <c r="J300" s="717">
        <v>3080</v>
      </c>
      <c r="K300" s="711">
        <v>166</v>
      </c>
      <c r="L300" s="711">
        <v>6.26</v>
      </c>
      <c r="M300" s="711">
        <v>166</v>
      </c>
      <c r="N300" s="711">
        <v>129</v>
      </c>
      <c r="O300" s="712">
        <v>188</v>
      </c>
    </row>
    <row r="301" spans="1:15" s="86" customFormat="1" ht="15" x14ac:dyDescent="0.25">
      <c r="A301" s="1287"/>
      <c r="B301" s="87" t="s">
        <v>841</v>
      </c>
      <c r="C301" s="88">
        <v>2897</v>
      </c>
      <c r="D301" s="711">
        <v>93.35</v>
      </c>
      <c r="E301" s="711">
        <v>11.06</v>
      </c>
      <c r="F301" s="711">
        <v>92</v>
      </c>
      <c r="G301" s="711">
        <v>53</v>
      </c>
      <c r="H301" s="711">
        <v>180</v>
      </c>
      <c r="I301" s="711"/>
      <c r="J301" s="717">
        <v>3080</v>
      </c>
      <c r="K301" s="711">
        <v>80.36</v>
      </c>
      <c r="L301" s="711">
        <v>12.38</v>
      </c>
      <c r="M301" s="711">
        <v>78</v>
      </c>
      <c r="N301" s="711">
        <v>53</v>
      </c>
      <c r="O301" s="712">
        <v>146</v>
      </c>
    </row>
    <row r="302" spans="1:15" s="86" customFormat="1" ht="15" x14ac:dyDescent="0.25">
      <c r="A302" s="1287"/>
      <c r="B302" s="87" t="s">
        <v>843</v>
      </c>
      <c r="C302" s="88">
        <v>2897</v>
      </c>
      <c r="D302" s="711">
        <v>101.53</v>
      </c>
      <c r="E302" s="711">
        <v>8.01</v>
      </c>
      <c r="F302" s="711">
        <v>101</v>
      </c>
      <c r="G302" s="711">
        <v>76</v>
      </c>
      <c r="H302" s="711">
        <v>165</v>
      </c>
      <c r="I302" s="711"/>
      <c r="J302" s="717">
        <v>3080</v>
      </c>
      <c r="K302" s="711">
        <v>100.59</v>
      </c>
      <c r="L302" s="711">
        <v>11.32</v>
      </c>
      <c r="M302" s="711">
        <v>99</v>
      </c>
      <c r="N302" s="711">
        <v>68</v>
      </c>
      <c r="O302" s="712">
        <v>174</v>
      </c>
    </row>
    <row r="303" spans="1:15" s="86" customFormat="1" ht="15" x14ac:dyDescent="0.25">
      <c r="A303" s="1288"/>
      <c r="B303" s="87" t="s">
        <v>844</v>
      </c>
      <c r="C303" s="88">
        <v>2897</v>
      </c>
      <c r="D303" s="711">
        <v>0.92</v>
      </c>
      <c r="E303" s="711">
        <v>0.06</v>
      </c>
      <c r="F303" s="711">
        <v>0.91</v>
      </c>
      <c r="G303" s="711">
        <v>0.61</v>
      </c>
      <c r="H303" s="711">
        <v>1.64</v>
      </c>
      <c r="I303" s="711"/>
      <c r="J303" s="717">
        <v>3080</v>
      </c>
      <c r="K303" s="711">
        <v>0.8</v>
      </c>
      <c r="L303" s="711">
        <v>0.06</v>
      </c>
      <c r="M303" s="711">
        <v>0.79</v>
      </c>
      <c r="N303" s="711">
        <v>0.6</v>
      </c>
      <c r="O303" s="712">
        <v>1.1000000000000001</v>
      </c>
    </row>
    <row r="304" spans="1:15" s="86" customFormat="1" ht="15" x14ac:dyDescent="0.25">
      <c r="A304" s="1286" t="s">
        <v>776</v>
      </c>
      <c r="B304" s="855" t="s">
        <v>837</v>
      </c>
      <c r="C304" s="856">
        <v>1289</v>
      </c>
      <c r="D304" s="857">
        <v>54.960030000000003</v>
      </c>
      <c r="E304" s="857">
        <v>8.1829739999999997</v>
      </c>
      <c r="F304" s="857">
        <v>55.438740000000003</v>
      </c>
      <c r="G304" s="857">
        <v>29.878170000000001</v>
      </c>
      <c r="H304" s="857">
        <v>76.939080000000004</v>
      </c>
      <c r="I304" s="857"/>
      <c r="J304" s="858">
        <v>1352</v>
      </c>
      <c r="K304" s="857">
        <v>55.756239999999998</v>
      </c>
      <c r="L304" s="857">
        <v>8.1133050000000004</v>
      </c>
      <c r="M304" s="857">
        <v>56.395620000000001</v>
      </c>
      <c r="N304" s="857">
        <v>26.193020000000001</v>
      </c>
      <c r="O304" s="710">
        <v>76.952770000000001</v>
      </c>
    </row>
    <row r="305" spans="1:15" s="86" customFormat="1" ht="15" x14ac:dyDescent="0.25">
      <c r="A305" s="1287"/>
      <c r="B305" s="87" t="s">
        <v>838</v>
      </c>
      <c r="C305" s="88">
        <v>1284</v>
      </c>
      <c r="D305" s="711">
        <v>29.31522</v>
      </c>
      <c r="E305" s="711">
        <v>4.0289679999999999</v>
      </c>
      <c r="F305" s="711">
        <v>28.9</v>
      </c>
      <c r="G305" s="711">
        <v>13.59</v>
      </c>
      <c r="H305" s="711">
        <v>61.4</v>
      </c>
      <c r="I305" s="711"/>
      <c r="J305" s="717">
        <v>1348</v>
      </c>
      <c r="K305" s="711">
        <v>30.275939999999999</v>
      </c>
      <c r="L305" s="711">
        <v>5.3295079999999997</v>
      </c>
      <c r="M305" s="711">
        <v>29.62</v>
      </c>
      <c r="N305" s="711">
        <v>17.010000000000002</v>
      </c>
      <c r="O305" s="712">
        <v>67.86</v>
      </c>
    </row>
    <row r="306" spans="1:15" s="86" customFormat="1" ht="15" x14ac:dyDescent="0.25">
      <c r="A306" s="1287"/>
      <c r="B306" s="87" t="s">
        <v>839</v>
      </c>
      <c r="C306" s="88">
        <v>1284</v>
      </c>
      <c r="D306" s="711">
        <v>88.325890000000001</v>
      </c>
      <c r="E306" s="711">
        <v>13.827170000000001</v>
      </c>
      <c r="F306" s="711">
        <v>86.754999999999995</v>
      </c>
      <c r="G306" s="711">
        <v>45</v>
      </c>
      <c r="H306" s="711">
        <v>181</v>
      </c>
      <c r="I306" s="711"/>
      <c r="J306" s="717">
        <v>1348</v>
      </c>
      <c r="K306" s="711">
        <v>77.737819999999999</v>
      </c>
      <c r="L306" s="711">
        <v>14.3438</v>
      </c>
      <c r="M306" s="711">
        <v>76</v>
      </c>
      <c r="N306" s="711">
        <v>44.8</v>
      </c>
      <c r="O306" s="712">
        <v>187</v>
      </c>
    </row>
    <row r="307" spans="1:15" s="86" customFormat="1" ht="15" x14ac:dyDescent="0.25">
      <c r="A307" s="1287"/>
      <c r="B307" s="87" t="s">
        <v>840</v>
      </c>
      <c r="C307" s="88">
        <v>1289</v>
      </c>
      <c r="D307" s="711">
        <v>173.48390000000001</v>
      </c>
      <c r="E307" s="711">
        <v>7.2327060000000003</v>
      </c>
      <c r="F307" s="711">
        <v>173</v>
      </c>
      <c r="G307" s="711">
        <v>140</v>
      </c>
      <c r="H307" s="711">
        <v>196</v>
      </c>
      <c r="I307" s="711"/>
      <c r="J307" s="717">
        <v>1352</v>
      </c>
      <c r="K307" s="711">
        <v>160.27189999999999</v>
      </c>
      <c r="L307" s="711">
        <v>6.8158339999999997</v>
      </c>
      <c r="M307" s="711">
        <v>160</v>
      </c>
      <c r="N307" s="711">
        <v>136</v>
      </c>
      <c r="O307" s="712">
        <v>185</v>
      </c>
    </row>
    <row r="308" spans="1:15" s="86" customFormat="1" ht="15" x14ac:dyDescent="0.25">
      <c r="A308" s="1287"/>
      <c r="B308" s="87" t="s">
        <v>841</v>
      </c>
      <c r="C308" s="88">
        <v>1124</v>
      </c>
      <c r="D308" s="711">
        <v>102.6046</v>
      </c>
      <c r="E308" s="711">
        <v>10.27284</v>
      </c>
      <c r="F308" s="711">
        <v>102</v>
      </c>
      <c r="G308" s="711">
        <v>65</v>
      </c>
      <c r="H308" s="711">
        <v>143</v>
      </c>
      <c r="I308" s="711"/>
      <c r="J308" s="717">
        <v>1210</v>
      </c>
      <c r="K308" s="711">
        <v>93.016350000000003</v>
      </c>
      <c r="L308" s="711">
        <v>12.29874</v>
      </c>
      <c r="M308" s="711">
        <v>93</v>
      </c>
      <c r="N308" s="711">
        <v>57</v>
      </c>
      <c r="O308" s="712">
        <v>158</v>
      </c>
    </row>
    <row r="309" spans="1:15" s="86" customFormat="1" ht="15" x14ac:dyDescent="0.25">
      <c r="A309" s="1287"/>
      <c r="B309" s="87" t="s">
        <v>843</v>
      </c>
      <c r="C309" s="88">
        <v>1124</v>
      </c>
      <c r="D309" s="711">
        <v>104.7607</v>
      </c>
      <c r="E309" s="711">
        <v>7.9012140000000004</v>
      </c>
      <c r="F309" s="711">
        <v>104</v>
      </c>
      <c r="G309" s="711">
        <v>84</v>
      </c>
      <c r="H309" s="711">
        <v>143</v>
      </c>
      <c r="I309" s="711"/>
      <c r="J309" s="717">
        <v>1210</v>
      </c>
      <c r="K309" s="711">
        <v>108.8147</v>
      </c>
      <c r="L309" s="711">
        <v>11.168060000000001</v>
      </c>
      <c r="M309" s="711">
        <v>108</v>
      </c>
      <c r="N309" s="711">
        <v>79.84</v>
      </c>
      <c r="O309" s="712">
        <v>171</v>
      </c>
    </row>
    <row r="310" spans="1:15" s="86" customFormat="1" ht="15" x14ac:dyDescent="0.25">
      <c r="A310" s="1288"/>
      <c r="B310" s="89" t="s">
        <v>844</v>
      </c>
      <c r="C310" s="90">
        <v>1124</v>
      </c>
      <c r="D310" s="98">
        <v>0.97875440000000002</v>
      </c>
      <c r="E310" s="98">
        <v>5.6077299999999997E-2</v>
      </c>
      <c r="F310" s="98">
        <v>0.98</v>
      </c>
      <c r="G310" s="98">
        <v>0.77</v>
      </c>
      <c r="H310" s="98">
        <v>1.23</v>
      </c>
      <c r="I310" s="98"/>
      <c r="J310" s="718">
        <v>1210</v>
      </c>
      <c r="K310" s="98">
        <v>0.85404959999999996</v>
      </c>
      <c r="L310" s="98">
        <v>6.2916200000000005E-2</v>
      </c>
      <c r="M310" s="98">
        <v>0.85</v>
      </c>
      <c r="N310" s="98">
        <v>0.66</v>
      </c>
      <c r="O310" s="99">
        <v>1.1399999999999999</v>
      </c>
    </row>
    <row r="311" spans="1:15" s="86" customFormat="1" ht="15" x14ac:dyDescent="0.25">
      <c r="A311" s="1286" t="s">
        <v>863</v>
      </c>
      <c r="B311" s="855" t="s">
        <v>837</v>
      </c>
      <c r="C311" s="856">
        <v>232</v>
      </c>
      <c r="D311" s="857">
        <v>43.2</v>
      </c>
      <c r="E311" s="857">
        <v>14.44</v>
      </c>
      <c r="F311" s="857">
        <v>41.26</v>
      </c>
      <c r="G311" s="857">
        <v>18.09</v>
      </c>
      <c r="H311" s="857">
        <v>79.266000000000005</v>
      </c>
      <c r="I311" s="857"/>
      <c r="J311" s="858">
        <v>341</v>
      </c>
      <c r="K311" s="857">
        <v>42.35</v>
      </c>
      <c r="L311" s="857">
        <v>13.62</v>
      </c>
      <c r="M311" s="857">
        <v>41.436999999999998</v>
      </c>
      <c r="N311" s="857">
        <v>18.398</v>
      </c>
      <c r="O311" s="710">
        <v>80.284739999999999</v>
      </c>
    </row>
    <row r="312" spans="1:15" s="86" customFormat="1" ht="15" x14ac:dyDescent="0.25">
      <c r="A312" s="1287"/>
      <c r="B312" s="87" t="s">
        <v>838</v>
      </c>
      <c r="C312" s="88">
        <v>231</v>
      </c>
      <c r="D312" s="711">
        <v>28.795326757372305</v>
      </c>
      <c r="E312" s="711">
        <v>5.2620495344157527</v>
      </c>
      <c r="F312" s="711">
        <v>28.355237831</v>
      </c>
      <c r="G312" s="711">
        <v>18.605964731</v>
      </c>
      <c r="H312" s="711">
        <v>47.116152069000002</v>
      </c>
      <c r="I312" s="711"/>
      <c r="J312" s="717">
        <v>339</v>
      </c>
      <c r="K312" s="711">
        <v>30.758658863820063</v>
      </c>
      <c r="L312" s="711">
        <v>7.5805019386258694</v>
      </c>
      <c r="M312" s="711">
        <v>29.378886004000002</v>
      </c>
      <c r="N312" s="711">
        <v>15.372654150000001</v>
      </c>
      <c r="O312" s="712">
        <v>54.576762318</v>
      </c>
    </row>
    <row r="313" spans="1:15" s="86" customFormat="1" ht="15" x14ac:dyDescent="0.25">
      <c r="A313" s="1287"/>
      <c r="B313" s="87" t="s">
        <v>840</v>
      </c>
      <c r="C313" s="88">
        <v>232</v>
      </c>
      <c r="D313" s="711">
        <v>178.72284482758619</v>
      </c>
      <c r="E313" s="711">
        <v>6.4658774418249232</v>
      </c>
      <c r="F313" s="711">
        <v>178.45</v>
      </c>
      <c r="G313" s="711">
        <v>161.30000000000001</v>
      </c>
      <c r="H313" s="711">
        <v>199.6</v>
      </c>
      <c r="I313" s="711"/>
      <c r="J313" s="717">
        <v>341</v>
      </c>
      <c r="K313" s="711">
        <v>163.96480938416414</v>
      </c>
      <c r="L313" s="711">
        <v>5.7163433685946803</v>
      </c>
      <c r="M313" s="711">
        <v>163.6</v>
      </c>
      <c r="N313" s="711">
        <v>150.30000000000001</v>
      </c>
      <c r="O313" s="712">
        <v>179</v>
      </c>
    </row>
    <row r="314" spans="1:15" s="86" customFormat="1" ht="15" x14ac:dyDescent="0.25">
      <c r="A314" s="1288"/>
      <c r="B314" s="89" t="s">
        <v>844</v>
      </c>
      <c r="C314" s="90">
        <v>231</v>
      </c>
      <c r="D314" s="98">
        <v>0.87965929077155081</v>
      </c>
      <c r="E314" s="98">
        <v>7.1755067275765388E-2</v>
      </c>
      <c r="F314" s="98">
        <v>0.87493909900000011</v>
      </c>
      <c r="G314" s="98">
        <v>0.73143138200000002</v>
      </c>
      <c r="H314" s="98">
        <v>1.099959033</v>
      </c>
      <c r="I314" s="98"/>
      <c r="J314" s="718">
        <v>339</v>
      </c>
      <c r="K314" s="98">
        <v>0.79471305486430677</v>
      </c>
      <c r="L314" s="98">
        <v>7.6926149118292403E-2</v>
      </c>
      <c r="M314" s="98">
        <v>0.79176307300000004</v>
      </c>
      <c r="N314" s="98">
        <v>0.62066081100000003</v>
      </c>
      <c r="O314" s="99">
        <v>1.011919966</v>
      </c>
    </row>
    <row r="315" spans="1:15" s="86" customFormat="1" ht="15" x14ac:dyDescent="0.25">
      <c r="A315" s="1286" t="s">
        <v>864</v>
      </c>
      <c r="B315" s="855" t="s">
        <v>837</v>
      </c>
      <c r="C315" s="856">
        <v>518</v>
      </c>
      <c r="D315" s="857">
        <v>41.78</v>
      </c>
      <c r="E315" s="857">
        <v>15.015000000000001</v>
      </c>
      <c r="F315" s="857">
        <v>38.948</v>
      </c>
      <c r="G315" s="857">
        <v>18.042439999999999</v>
      </c>
      <c r="H315" s="857">
        <v>79.898700000000005</v>
      </c>
      <c r="I315" s="857"/>
      <c r="J315" s="858">
        <v>742</v>
      </c>
      <c r="K315" s="857">
        <v>43.34</v>
      </c>
      <c r="L315" s="857">
        <v>14.2</v>
      </c>
      <c r="M315" s="857">
        <v>42.53</v>
      </c>
      <c r="N315" s="857">
        <v>18</v>
      </c>
      <c r="O315" s="710">
        <v>81.180000000000007</v>
      </c>
    </row>
    <row r="316" spans="1:15" s="86" customFormat="1" ht="15" x14ac:dyDescent="0.25">
      <c r="A316" s="1287"/>
      <c r="B316" s="87" t="s">
        <v>838</v>
      </c>
      <c r="C316" s="88">
        <v>516</v>
      </c>
      <c r="D316" s="711">
        <v>28.371241719629857</v>
      </c>
      <c r="E316" s="711">
        <v>5.3654304376147897</v>
      </c>
      <c r="F316" s="711">
        <v>28.004685305999999</v>
      </c>
      <c r="G316" s="711">
        <v>17.582994542000002</v>
      </c>
      <c r="H316" s="711">
        <v>45.716801724</v>
      </c>
      <c r="I316" s="711"/>
      <c r="J316" s="717">
        <v>737</v>
      </c>
      <c r="K316" s="711">
        <v>29.23654454030936</v>
      </c>
      <c r="L316" s="711">
        <v>6.5897445103560965</v>
      </c>
      <c r="M316" s="711">
        <v>28.127292312000002</v>
      </c>
      <c r="N316" s="711">
        <v>16.495051428</v>
      </c>
      <c r="O316" s="712">
        <v>58.092991247</v>
      </c>
    </row>
    <row r="317" spans="1:15" s="86" customFormat="1" ht="15" x14ac:dyDescent="0.25">
      <c r="A317" s="1287"/>
      <c r="B317" s="87" t="s">
        <v>840</v>
      </c>
      <c r="C317" s="88">
        <v>518</v>
      </c>
      <c r="D317" s="711">
        <v>171.42316602316609</v>
      </c>
      <c r="E317" s="711">
        <v>6.9270392199959208</v>
      </c>
      <c r="F317" s="711">
        <v>171.4</v>
      </c>
      <c r="G317" s="711">
        <v>142.5</v>
      </c>
      <c r="H317" s="711">
        <v>203.5</v>
      </c>
      <c r="I317" s="711"/>
      <c r="J317" s="717">
        <v>742</v>
      </c>
      <c r="K317" s="711">
        <v>158.35592991913745</v>
      </c>
      <c r="L317" s="711">
        <v>5.9067413747764732</v>
      </c>
      <c r="M317" s="711">
        <v>158.5</v>
      </c>
      <c r="N317" s="711">
        <v>142</v>
      </c>
      <c r="O317" s="712">
        <v>177.7</v>
      </c>
    </row>
    <row r="318" spans="1:15" s="86" customFormat="1" ht="15" x14ac:dyDescent="0.25">
      <c r="A318" s="1288"/>
      <c r="B318" s="89" t="s">
        <v>844</v>
      </c>
      <c r="C318" s="90">
        <v>516</v>
      </c>
      <c r="D318" s="98">
        <v>0.92696057865116199</v>
      </c>
      <c r="E318" s="98">
        <v>6.4251672378228014E-2</v>
      </c>
      <c r="F318" s="98">
        <v>0.92829457399999993</v>
      </c>
      <c r="G318" s="98">
        <v>0.75026738000000004</v>
      </c>
      <c r="H318" s="98">
        <v>1.1895061730000001</v>
      </c>
      <c r="I318" s="98"/>
      <c r="J318" s="718">
        <v>737</v>
      </c>
      <c r="K318" s="98">
        <v>0.80623085893758528</v>
      </c>
      <c r="L318" s="98">
        <v>5.7417986264566789E-2</v>
      </c>
      <c r="M318" s="98">
        <v>0.80086165600000003</v>
      </c>
      <c r="N318" s="98">
        <v>0.66048728800000001</v>
      </c>
      <c r="O318" s="99">
        <v>0.99853157100000001</v>
      </c>
    </row>
    <row r="319" spans="1:15" s="86" customFormat="1" ht="15" x14ac:dyDescent="0.25">
      <c r="A319" s="1286" t="s">
        <v>499</v>
      </c>
      <c r="B319" s="855" t="s">
        <v>837</v>
      </c>
      <c r="C319" s="856">
        <v>868</v>
      </c>
      <c r="D319" s="857">
        <v>51.8</v>
      </c>
      <c r="E319" s="857">
        <v>12.8</v>
      </c>
      <c r="F319" s="857">
        <v>51</v>
      </c>
      <c r="G319" s="857">
        <v>21</v>
      </c>
      <c r="H319" s="857">
        <v>81</v>
      </c>
      <c r="I319" s="857"/>
      <c r="J319" s="858">
        <v>1449</v>
      </c>
      <c r="K319" s="857">
        <v>53.7</v>
      </c>
      <c r="L319" s="857">
        <v>12.6</v>
      </c>
      <c r="M319" s="857">
        <v>53</v>
      </c>
      <c r="N319" s="857">
        <v>21</v>
      </c>
      <c r="O319" s="710">
        <v>91</v>
      </c>
    </row>
    <row r="320" spans="1:15" s="86" customFormat="1" ht="15" x14ac:dyDescent="0.25">
      <c r="A320" s="1287"/>
      <c r="B320" s="87" t="s">
        <v>838</v>
      </c>
      <c r="C320" s="88">
        <v>868</v>
      </c>
      <c r="D320" s="711">
        <v>30.4</v>
      </c>
      <c r="E320" s="711">
        <v>6.7</v>
      </c>
      <c r="F320" s="711">
        <v>29.2</v>
      </c>
      <c r="G320" s="711">
        <v>16.3</v>
      </c>
      <c r="H320" s="711">
        <v>66.099999999999994</v>
      </c>
      <c r="I320" s="711"/>
      <c r="J320" s="717">
        <v>1446</v>
      </c>
      <c r="K320" s="711">
        <v>31.9</v>
      </c>
      <c r="L320" s="711">
        <v>6</v>
      </c>
      <c r="M320" s="711">
        <v>31.5</v>
      </c>
      <c r="N320" s="711">
        <v>16</v>
      </c>
      <c r="O320" s="712">
        <v>54.2</v>
      </c>
    </row>
    <row r="321" spans="1:15" s="86" customFormat="1" ht="15" x14ac:dyDescent="0.25">
      <c r="A321" s="1287"/>
      <c r="B321" s="87" t="s">
        <v>839</v>
      </c>
      <c r="C321" s="88">
        <v>868</v>
      </c>
      <c r="D321" s="711">
        <v>96.2</v>
      </c>
      <c r="E321" s="711">
        <v>23</v>
      </c>
      <c r="F321" s="711">
        <v>92</v>
      </c>
      <c r="G321" s="711">
        <v>49.1</v>
      </c>
      <c r="H321" s="711">
        <v>232.4</v>
      </c>
      <c r="I321" s="711"/>
      <c r="J321" s="717">
        <v>1447</v>
      </c>
      <c r="K321" s="711">
        <v>86.1</v>
      </c>
      <c r="L321" s="711">
        <v>17.399999999999999</v>
      </c>
      <c r="M321" s="711">
        <v>84.8</v>
      </c>
      <c r="N321" s="711">
        <v>41</v>
      </c>
      <c r="O321" s="712">
        <v>185.1</v>
      </c>
    </row>
    <row r="322" spans="1:15" s="86" customFormat="1" ht="15" x14ac:dyDescent="0.25">
      <c r="A322" s="1287"/>
      <c r="B322" s="87" t="s">
        <v>840</v>
      </c>
      <c r="C322" s="88">
        <v>868</v>
      </c>
      <c r="D322" s="711">
        <v>177.77</v>
      </c>
      <c r="E322" s="711">
        <v>6.97</v>
      </c>
      <c r="F322" s="711">
        <v>178</v>
      </c>
      <c r="G322" s="711">
        <v>158</v>
      </c>
      <c r="H322" s="711">
        <v>200</v>
      </c>
      <c r="I322" s="711"/>
      <c r="J322" s="717">
        <v>1449</v>
      </c>
      <c r="K322" s="711">
        <v>164.26</v>
      </c>
      <c r="L322" s="711">
        <v>6.48</v>
      </c>
      <c r="M322" s="711">
        <v>164</v>
      </c>
      <c r="N322" s="711">
        <v>142</v>
      </c>
      <c r="O322" s="712">
        <v>185</v>
      </c>
    </row>
    <row r="323" spans="1:15" s="86" customFormat="1" ht="15" x14ac:dyDescent="0.25">
      <c r="A323" s="1287"/>
      <c r="B323" s="87" t="s">
        <v>841</v>
      </c>
      <c r="C323" s="88">
        <v>678</v>
      </c>
      <c r="D323" s="711">
        <v>104.5</v>
      </c>
      <c r="E323" s="711">
        <v>15.9</v>
      </c>
      <c r="F323" s="711">
        <v>101.6</v>
      </c>
      <c r="G323" s="711">
        <v>66</v>
      </c>
      <c r="H323" s="711">
        <v>188</v>
      </c>
      <c r="I323" s="711"/>
      <c r="J323" s="717">
        <v>1182</v>
      </c>
      <c r="K323" s="711">
        <v>100</v>
      </c>
      <c r="L323" s="711">
        <v>14.8</v>
      </c>
      <c r="M323" s="711">
        <v>99.1</v>
      </c>
      <c r="N323" s="711">
        <v>58.4</v>
      </c>
      <c r="O323" s="712">
        <v>177.8</v>
      </c>
    </row>
    <row r="324" spans="1:15" s="86" customFormat="1" ht="15" x14ac:dyDescent="0.25">
      <c r="A324" s="1287"/>
      <c r="B324" s="87" t="s">
        <v>843</v>
      </c>
      <c r="C324" s="88">
        <v>678</v>
      </c>
      <c r="D324" s="711">
        <v>111.4</v>
      </c>
      <c r="E324" s="711">
        <v>13.4</v>
      </c>
      <c r="F324" s="711">
        <v>109.2</v>
      </c>
      <c r="G324" s="711">
        <v>83.8</v>
      </c>
      <c r="H324" s="711">
        <v>188</v>
      </c>
      <c r="I324" s="711"/>
      <c r="J324" s="717">
        <v>1182</v>
      </c>
      <c r="K324" s="711">
        <v>115.2</v>
      </c>
      <c r="L324" s="711">
        <v>13.5</v>
      </c>
      <c r="M324" s="711">
        <v>114.3</v>
      </c>
      <c r="N324" s="711">
        <v>78.7</v>
      </c>
      <c r="O324" s="712">
        <v>191.8</v>
      </c>
    </row>
    <row r="325" spans="1:15" s="86" customFormat="1" ht="15" x14ac:dyDescent="0.25">
      <c r="A325" s="1288"/>
      <c r="B325" s="89" t="s">
        <v>844</v>
      </c>
      <c r="C325" s="90">
        <v>678</v>
      </c>
      <c r="D325" s="98">
        <v>0.94</v>
      </c>
      <c r="E325" s="98">
        <v>6.5000000000000002E-2</v>
      </c>
      <c r="F325" s="98">
        <v>0.94</v>
      </c>
      <c r="G325" s="98">
        <v>0.68</v>
      </c>
      <c r="H325" s="98">
        <v>1.19</v>
      </c>
      <c r="I325" s="98"/>
      <c r="J325" s="718">
        <v>1182</v>
      </c>
      <c r="K325" s="98">
        <v>0.87</v>
      </c>
      <c r="L325" s="98">
        <v>7.5999999999999998E-2</v>
      </c>
      <c r="M325" s="98">
        <v>0.86</v>
      </c>
      <c r="N325" s="98">
        <v>0.62</v>
      </c>
      <c r="O325" s="99">
        <v>1.47</v>
      </c>
    </row>
    <row r="326" spans="1:15" s="86" customFormat="1" ht="15" x14ac:dyDescent="0.25">
      <c r="A326" s="1286" t="s">
        <v>504</v>
      </c>
      <c r="B326" s="855" t="s">
        <v>837</v>
      </c>
      <c r="C326" s="856">
        <v>1369</v>
      </c>
      <c r="D326" s="857">
        <v>56.623082542001498</v>
      </c>
      <c r="E326" s="857">
        <v>13.389670196699001</v>
      </c>
      <c r="F326" s="857">
        <v>57</v>
      </c>
      <c r="G326" s="857">
        <v>32</v>
      </c>
      <c r="H326" s="857">
        <v>81</v>
      </c>
      <c r="I326" s="857"/>
      <c r="J326" s="858">
        <v>1478</v>
      </c>
      <c r="K326" s="857">
        <v>55.327469553450598</v>
      </c>
      <c r="L326" s="857">
        <v>13.1425058574853</v>
      </c>
      <c r="M326" s="857">
        <v>55</v>
      </c>
      <c r="N326" s="857">
        <v>32</v>
      </c>
      <c r="O326" s="710">
        <v>81</v>
      </c>
    </row>
    <row r="327" spans="1:15" s="86" customFormat="1" ht="15" x14ac:dyDescent="0.25">
      <c r="A327" s="1287"/>
      <c r="B327" s="87" t="s">
        <v>838</v>
      </c>
      <c r="C327" s="88">
        <v>1365</v>
      </c>
      <c r="D327" s="711">
        <v>27.8472527472527</v>
      </c>
      <c r="E327" s="711">
        <v>4.02669173549448</v>
      </c>
      <c r="F327" s="711">
        <v>27.22</v>
      </c>
      <c r="G327" s="711">
        <v>16.32</v>
      </c>
      <c r="H327" s="711">
        <v>47.55</v>
      </c>
      <c r="I327" s="711"/>
      <c r="J327" s="717">
        <v>1468</v>
      </c>
      <c r="K327" s="711">
        <v>27.2081335149864</v>
      </c>
      <c r="L327" s="711">
        <v>5.2404631648901603</v>
      </c>
      <c r="M327" s="711">
        <v>26.23</v>
      </c>
      <c r="N327" s="711">
        <v>16.05</v>
      </c>
      <c r="O327" s="712">
        <v>50.43</v>
      </c>
    </row>
    <row r="328" spans="1:15" s="86" customFormat="1" ht="15" x14ac:dyDescent="0.25">
      <c r="A328" s="1287"/>
      <c r="B328" s="87" t="s">
        <v>839</v>
      </c>
      <c r="C328" s="88">
        <v>1365</v>
      </c>
      <c r="D328" s="711">
        <v>85.810769230769196</v>
      </c>
      <c r="E328" s="711">
        <v>13.2536580379653</v>
      </c>
      <c r="F328" s="711">
        <v>84.3</v>
      </c>
      <c r="G328" s="711">
        <v>53</v>
      </c>
      <c r="H328" s="711">
        <v>160.1</v>
      </c>
      <c r="I328" s="711"/>
      <c r="J328" s="717">
        <v>1468</v>
      </c>
      <c r="K328" s="711">
        <v>71.562261580381502</v>
      </c>
      <c r="L328" s="711">
        <v>13.6646940890659</v>
      </c>
      <c r="M328" s="711">
        <v>69.2</v>
      </c>
      <c r="N328" s="711">
        <v>41.5</v>
      </c>
      <c r="O328" s="712">
        <v>131.30000000000001</v>
      </c>
    </row>
    <row r="329" spans="1:15" s="86" customFormat="1" ht="15" x14ac:dyDescent="0.25">
      <c r="A329" s="1287"/>
      <c r="B329" s="87" t="s">
        <v>840</v>
      </c>
      <c r="C329" s="88">
        <v>1365</v>
      </c>
      <c r="D329" s="711">
        <v>175.55832197453</v>
      </c>
      <c r="E329" s="711">
        <v>7.1714251895139398</v>
      </c>
      <c r="F329" s="711">
        <v>175.61082210148899</v>
      </c>
      <c r="G329" s="711">
        <v>154.402740213919</v>
      </c>
      <c r="H329" s="711">
        <v>197.09725043521399</v>
      </c>
      <c r="I329" s="711"/>
      <c r="J329" s="717">
        <v>1468</v>
      </c>
      <c r="K329" s="711">
        <v>162.34488968542701</v>
      </c>
      <c r="L329" s="711">
        <v>6.8001591502235099</v>
      </c>
      <c r="M329" s="711">
        <v>162.10495220656</v>
      </c>
      <c r="N329" s="711">
        <v>139.992386282448</v>
      </c>
      <c r="O329" s="712">
        <v>185.19152296542401</v>
      </c>
    </row>
    <row r="330" spans="1:15" s="86" customFormat="1" ht="15" x14ac:dyDescent="0.25">
      <c r="A330" s="1287"/>
      <c r="B330" s="87" t="s">
        <v>841</v>
      </c>
      <c r="C330" s="88">
        <v>1367</v>
      </c>
      <c r="D330" s="711">
        <v>99.731528895391406</v>
      </c>
      <c r="E330" s="711">
        <v>11.589169576268301</v>
      </c>
      <c r="F330" s="711">
        <v>98.8</v>
      </c>
      <c r="G330" s="711">
        <v>63</v>
      </c>
      <c r="H330" s="711">
        <v>170</v>
      </c>
      <c r="I330" s="711"/>
      <c r="J330" s="717">
        <v>1469</v>
      </c>
      <c r="K330" s="711">
        <v>87.840299523485399</v>
      </c>
      <c r="L330" s="711">
        <v>13.118191351112101</v>
      </c>
      <c r="M330" s="711">
        <v>87.1</v>
      </c>
      <c r="N330" s="711">
        <v>61.3</v>
      </c>
      <c r="O330" s="712">
        <v>139.19999999999999</v>
      </c>
    </row>
    <row r="331" spans="1:15" s="86" customFormat="1" ht="15" x14ac:dyDescent="0.25">
      <c r="A331" s="1287"/>
      <c r="B331" s="87" t="s">
        <v>843</v>
      </c>
      <c r="C331" s="88">
        <v>1367</v>
      </c>
      <c r="D331" s="711">
        <v>106.102048280907</v>
      </c>
      <c r="E331" s="711">
        <v>7.4814271871138303</v>
      </c>
      <c r="F331" s="711">
        <v>105.4</v>
      </c>
      <c r="G331" s="711">
        <v>76.900000000000006</v>
      </c>
      <c r="H331" s="711">
        <v>175.2</v>
      </c>
      <c r="I331" s="711"/>
      <c r="J331" s="717">
        <v>1468</v>
      </c>
      <c r="K331" s="711">
        <v>106.290326975477</v>
      </c>
      <c r="L331" s="711">
        <v>10.197953556656801</v>
      </c>
      <c r="M331" s="711">
        <v>104.6</v>
      </c>
      <c r="N331" s="711">
        <v>84.5</v>
      </c>
      <c r="O331" s="712">
        <v>162</v>
      </c>
    </row>
    <row r="332" spans="1:15" s="86" customFormat="1" ht="15" x14ac:dyDescent="0.25">
      <c r="A332" s="1288"/>
      <c r="B332" s="89" t="s">
        <v>844</v>
      </c>
      <c r="C332" s="90">
        <v>1367</v>
      </c>
      <c r="D332" s="98">
        <v>0.93843087051938601</v>
      </c>
      <c r="E332" s="98">
        <v>6.7265591122766699E-2</v>
      </c>
      <c r="F332" s="98">
        <v>0.94</v>
      </c>
      <c r="G332" s="98">
        <v>0.67900000000000005</v>
      </c>
      <c r="H332" s="98">
        <v>1.1930000000000001</v>
      </c>
      <c r="I332" s="98"/>
      <c r="J332" s="718">
        <v>1468</v>
      </c>
      <c r="K332" s="98">
        <v>0.82396049046321496</v>
      </c>
      <c r="L332" s="98">
        <v>6.9333951293292104E-2</v>
      </c>
      <c r="M332" s="98">
        <v>0.82299999999999995</v>
      </c>
      <c r="N332" s="98">
        <v>0.65200000000000002</v>
      </c>
      <c r="O332" s="99">
        <v>1.093</v>
      </c>
    </row>
    <row r="333" spans="1:15" s="86" customFormat="1" ht="15" x14ac:dyDescent="0.25">
      <c r="A333" s="1286" t="s">
        <v>508</v>
      </c>
      <c r="B333" s="855" t="s">
        <v>837</v>
      </c>
      <c r="C333" s="856">
        <v>361</v>
      </c>
      <c r="D333" s="857">
        <v>42.353629639889199</v>
      </c>
      <c r="E333" s="857">
        <v>17.115379653118101</v>
      </c>
      <c r="F333" s="857">
        <v>40</v>
      </c>
      <c r="G333" s="857">
        <v>18</v>
      </c>
      <c r="H333" s="857">
        <v>99</v>
      </c>
      <c r="I333" s="857"/>
      <c r="J333" s="858">
        <v>541</v>
      </c>
      <c r="K333" s="857">
        <v>43.630314232902002</v>
      </c>
      <c r="L333" s="857">
        <v>15.922268522452301</v>
      </c>
      <c r="M333" s="857">
        <v>43</v>
      </c>
      <c r="N333" s="857">
        <v>18</v>
      </c>
      <c r="O333" s="710">
        <v>91</v>
      </c>
    </row>
    <row r="334" spans="1:15" s="86" customFormat="1" ht="15" x14ac:dyDescent="0.25">
      <c r="A334" s="1287"/>
      <c r="B334" s="87" t="s">
        <v>838</v>
      </c>
      <c r="C334" s="88">
        <v>351</v>
      </c>
      <c r="D334" s="711">
        <v>34.761595441595396</v>
      </c>
      <c r="E334" s="711">
        <v>11.4971318046288</v>
      </c>
      <c r="F334" s="711">
        <v>32.130000000000003</v>
      </c>
      <c r="G334" s="711">
        <v>18.79</v>
      </c>
      <c r="H334" s="711">
        <v>79.09</v>
      </c>
      <c r="I334" s="711"/>
      <c r="J334" s="717">
        <v>515</v>
      </c>
      <c r="K334" s="711">
        <v>37.842815533980598</v>
      </c>
      <c r="L334" s="711">
        <v>12.097272807228901</v>
      </c>
      <c r="M334" s="711">
        <v>37.58</v>
      </c>
      <c r="N334" s="711">
        <v>14.79</v>
      </c>
      <c r="O334" s="712">
        <v>73.900000000000006</v>
      </c>
    </row>
    <row r="335" spans="1:15" s="86" customFormat="1" ht="15" x14ac:dyDescent="0.25">
      <c r="A335" s="1287"/>
      <c r="B335" s="87" t="s">
        <v>839</v>
      </c>
      <c r="C335" s="88">
        <v>361</v>
      </c>
      <c r="D335" s="711">
        <v>113.559345290859</v>
      </c>
      <c r="E335" s="711">
        <v>37.874525804176798</v>
      </c>
      <c r="F335" s="711">
        <v>105.8</v>
      </c>
      <c r="G335" s="711">
        <v>48</v>
      </c>
      <c r="H335" s="711">
        <v>250</v>
      </c>
      <c r="I335" s="711"/>
      <c r="J335" s="717">
        <v>541</v>
      </c>
      <c r="K335" s="711">
        <v>104.554333142329</v>
      </c>
      <c r="L335" s="711">
        <v>34.977617112915503</v>
      </c>
      <c r="M335" s="711">
        <v>103</v>
      </c>
      <c r="N335" s="711">
        <v>40</v>
      </c>
      <c r="O335" s="712">
        <v>209</v>
      </c>
    </row>
    <row r="336" spans="1:15" s="86" customFormat="1" ht="15" x14ac:dyDescent="0.25">
      <c r="A336" s="1287"/>
      <c r="B336" s="87" t="s">
        <v>840</v>
      </c>
      <c r="C336" s="88">
        <v>361</v>
      </c>
      <c r="D336" s="711">
        <v>180.033153083657</v>
      </c>
      <c r="E336" s="711">
        <v>6.7444943959449901</v>
      </c>
      <c r="F336" s="711">
        <v>180</v>
      </c>
      <c r="G336" s="711">
        <v>158</v>
      </c>
      <c r="H336" s="711">
        <v>198</v>
      </c>
      <c r="I336" s="711"/>
      <c r="J336" s="717">
        <v>541</v>
      </c>
      <c r="K336" s="711">
        <v>166.46064488854</v>
      </c>
      <c r="L336" s="711">
        <v>7.0434899422801402</v>
      </c>
      <c r="M336" s="711">
        <v>165</v>
      </c>
      <c r="N336" s="711">
        <v>142</v>
      </c>
      <c r="O336" s="712">
        <v>191</v>
      </c>
    </row>
    <row r="337" spans="1:15" s="86" customFormat="1" ht="15" x14ac:dyDescent="0.25">
      <c r="A337" s="1287"/>
      <c r="B337" s="87" t="s">
        <v>841</v>
      </c>
      <c r="C337" s="88">
        <v>335</v>
      </c>
      <c r="D337" s="711">
        <v>119.64477611940301</v>
      </c>
      <c r="E337" s="711">
        <v>27.954343034413402</v>
      </c>
      <c r="F337" s="711">
        <v>118</v>
      </c>
      <c r="G337" s="711">
        <v>60</v>
      </c>
      <c r="H337" s="711">
        <v>189</v>
      </c>
      <c r="I337" s="711"/>
      <c r="J337" s="717">
        <v>479</v>
      </c>
      <c r="K337" s="711">
        <v>114.97077244258899</v>
      </c>
      <c r="L337" s="711">
        <v>28.9671430809525</v>
      </c>
      <c r="M337" s="711">
        <v>118</v>
      </c>
      <c r="N337" s="711">
        <v>52</v>
      </c>
      <c r="O337" s="712">
        <v>186</v>
      </c>
    </row>
    <row r="338" spans="1:15" s="86" customFormat="1" ht="15" x14ac:dyDescent="0.25">
      <c r="A338" s="1287"/>
      <c r="B338" s="87" t="s">
        <v>843</v>
      </c>
      <c r="C338" s="88">
        <v>335</v>
      </c>
      <c r="D338" s="711">
        <v>119.838805970149</v>
      </c>
      <c r="E338" s="711">
        <v>24.6026686349113</v>
      </c>
      <c r="F338" s="711">
        <v>115</v>
      </c>
      <c r="G338" s="711">
        <v>71</v>
      </c>
      <c r="H338" s="711">
        <v>192</v>
      </c>
      <c r="I338" s="711"/>
      <c r="J338" s="717">
        <v>479</v>
      </c>
      <c r="K338" s="711">
        <v>125.97286012526099</v>
      </c>
      <c r="L338" s="711">
        <v>25.9763590291913</v>
      </c>
      <c r="M338" s="711">
        <v>126</v>
      </c>
      <c r="N338" s="711">
        <v>63</v>
      </c>
      <c r="O338" s="712">
        <v>192</v>
      </c>
    </row>
    <row r="339" spans="1:15" s="86" customFormat="1" ht="15" x14ac:dyDescent="0.25">
      <c r="A339" s="1288"/>
      <c r="B339" s="89" t="s">
        <v>844</v>
      </c>
      <c r="C339" s="90">
        <v>335</v>
      </c>
      <c r="D339" s="98">
        <v>0.99667479800895498</v>
      </c>
      <c r="E339" s="98">
        <v>0.109676669461332</v>
      </c>
      <c r="F339" s="98">
        <v>1</v>
      </c>
      <c r="G339" s="98">
        <v>0.75789473699999999</v>
      </c>
      <c r="H339" s="98">
        <v>1.302752294</v>
      </c>
      <c r="I339" s="98"/>
      <c r="J339" s="718">
        <v>479</v>
      </c>
      <c r="K339" s="98">
        <v>0.90872049588100201</v>
      </c>
      <c r="L339" s="98">
        <v>0.118939435882582</v>
      </c>
      <c r="M339" s="98">
        <v>0.90123456800000001</v>
      </c>
      <c r="N339" s="98">
        <v>0.66871165600000004</v>
      </c>
      <c r="O339" s="99">
        <v>1.325</v>
      </c>
    </row>
    <row r="340" spans="1:15" s="86" customFormat="1" ht="15" x14ac:dyDescent="0.25">
      <c r="A340" s="1286" t="s">
        <v>513</v>
      </c>
      <c r="B340" s="855" t="s">
        <v>837</v>
      </c>
      <c r="C340" s="856">
        <v>1241</v>
      </c>
      <c r="D340" s="857">
        <v>52.290570000000002</v>
      </c>
      <c r="E340" s="857">
        <v>10.2471</v>
      </c>
      <c r="F340" s="857">
        <v>51.4</v>
      </c>
      <c r="G340" s="857">
        <v>31.1</v>
      </c>
      <c r="H340" s="857">
        <v>74.8</v>
      </c>
      <c r="I340" s="857"/>
      <c r="J340" s="858">
        <v>423</v>
      </c>
      <c r="K340" s="857">
        <v>52.056739999999998</v>
      </c>
      <c r="L340" s="857">
        <v>9.5492729999999995</v>
      </c>
      <c r="M340" s="857">
        <v>51.8</v>
      </c>
      <c r="N340" s="857">
        <v>35.1</v>
      </c>
      <c r="O340" s="710">
        <v>75</v>
      </c>
    </row>
    <row r="341" spans="1:15" s="86" customFormat="1" ht="15" x14ac:dyDescent="0.25">
      <c r="A341" s="1287"/>
      <c r="B341" s="87" t="s">
        <v>838</v>
      </c>
      <c r="C341" s="88">
        <v>1241</v>
      </c>
      <c r="D341" s="711">
        <v>27.223929999999999</v>
      </c>
      <c r="E341" s="711">
        <v>3.8111969999999999</v>
      </c>
      <c r="F341" s="711">
        <v>26.8</v>
      </c>
      <c r="G341" s="711">
        <v>16.5</v>
      </c>
      <c r="H341" s="711">
        <v>49.2</v>
      </c>
      <c r="I341" s="711"/>
      <c r="J341" s="717">
        <v>423</v>
      </c>
      <c r="K341" s="711">
        <v>28.367139999999999</v>
      </c>
      <c r="L341" s="711">
        <v>5.1115409999999999</v>
      </c>
      <c r="M341" s="711">
        <v>27.9</v>
      </c>
      <c r="N341" s="711">
        <v>18.7</v>
      </c>
      <c r="O341" s="712">
        <v>49.6</v>
      </c>
    </row>
    <row r="342" spans="1:15" s="86" customFormat="1" ht="15" x14ac:dyDescent="0.25">
      <c r="A342" s="1287"/>
      <c r="B342" s="87" t="s">
        <v>839</v>
      </c>
      <c r="C342" s="88">
        <v>1241</v>
      </c>
      <c r="D342" s="711">
        <v>79.329809999999995</v>
      </c>
      <c r="E342" s="711">
        <v>12.62725</v>
      </c>
      <c r="F342" s="711">
        <v>77.900000000000006</v>
      </c>
      <c r="G342" s="711">
        <v>48</v>
      </c>
      <c r="H342" s="711">
        <v>154</v>
      </c>
      <c r="I342" s="711"/>
      <c r="J342" s="717">
        <v>423</v>
      </c>
      <c r="K342" s="711">
        <v>69.445390000000003</v>
      </c>
      <c r="L342" s="711">
        <v>12.38078</v>
      </c>
      <c r="M342" s="711">
        <v>68.099999999999994</v>
      </c>
      <c r="N342" s="711">
        <v>42.4</v>
      </c>
      <c r="O342" s="712">
        <v>114.8</v>
      </c>
    </row>
    <row r="343" spans="1:15" s="86" customFormat="1" ht="15" x14ac:dyDescent="0.25">
      <c r="A343" s="1287"/>
      <c r="B343" s="87" t="s">
        <v>840</v>
      </c>
      <c r="C343" s="88">
        <v>1241</v>
      </c>
      <c r="D343" s="711">
        <v>170.59440000000001</v>
      </c>
      <c r="E343" s="711">
        <v>6.3877179999999996</v>
      </c>
      <c r="F343" s="711">
        <v>170.4</v>
      </c>
      <c r="G343" s="711">
        <v>151</v>
      </c>
      <c r="H343" s="711">
        <v>192</v>
      </c>
      <c r="I343" s="711"/>
      <c r="J343" s="717">
        <v>423</v>
      </c>
      <c r="K343" s="711">
        <v>156.57990000000001</v>
      </c>
      <c r="L343" s="711">
        <v>6.0976489999999997</v>
      </c>
      <c r="M343" s="711">
        <v>157</v>
      </c>
      <c r="N343" s="711">
        <v>132</v>
      </c>
      <c r="O343" s="712">
        <v>172</v>
      </c>
    </row>
    <row r="344" spans="1:15" s="86" customFormat="1" ht="15" x14ac:dyDescent="0.25">
      <c r="A344" s="1287"/>
      <c r="B344" s="87" t="s">
        <v>841</v>
      </c>
      <c r="C344" s="88">
        <v>1239</v>
      </c>
      <c r="D344" s="711">
        <v>98.433170000000004</v>
      </c>
      <c r="E344" s="711">
        <v>10.19847</v>
      </c>
      <c r="F344" s="711">
        <v>98</v>
      </c>
      <c r="G344" s="711">
        <v>37</v>
      </c>
      <c r="H344" s="711">
        <v>138</v>
      </c>
      <c r="I344" s="711"/>
      <c r="J344" s="717">
        <v>421</v>
      </c>
      <c r="K344" s="711">
        <v>95.168880000000001</v>
      </c>
      <c r="L344" s="711">
        <v>12.30383</v>
      </c>
      <c r="M344" s="711">
        <v>95</v>
      </c>
      <c r="N344" s="711">
        <v>64</v>
      </c>
      <c r="O344" s="712">
        <v>146</v>
      </c>
    </row>
    <row r="345" spans="1:15" s="86" customFormat="1" ht="15" x14ac:dyDescent="0.25">
      <c r="A345" s="1287"/>
      <c r="B345" s="87" t="s">
        <v>843</v>
      </c>
      <c r="C345" s="88">
        <v>1239</v>
      </c>
      <c r="D345" s="711">
        <v>100.8584</v>
      </c>
      <c r="E345" s="711">
        <v>7.6169799999999999</v>
      </c>
      <c r="F345" s="711">
        <v>101</v>
      </c>
      <c r="G345" s="711">
        <v>36</v>
      </c>
      <c r="H345" s="711">
        <v>148</v>
      </c>
      <c r="I345" s="711"/>
      <c r="J345" s="717">
        <v>421</v>
      </c>
      <c r="K345" s="711">
        <v>103.6589</v>
      </c>
      <c r="L345" s="711">
        <v>9.7681159999999991</v>
      </c>
      <c r="M345" s="711">
        <v>103</v>
      </c>
      <c r="N345" s="711">
        <v>82</v>
      </c>
      <c r="O345" s="712">
        <v>152</v>
      </c>
    </row>
    <row r="346" spans="1:15" s="86" customFormat="1" ht="15" x14ac:dyDescent="0.25">
      <c r="A346" s="1288"/>
      <c r="B346" s="89" t="s">
        <v>844</v>
      </c>
      <c r="C346" s="90">
        <v>1239</v>
      </c>
      <c r="D346" s="98">
        <v>0.97104120000000005</v>
      </c>
      <c r="E346" s="98">
        <v>6.2617619999999999E-2</v>
      </c>
      <c r="F346" s="98">
        <v>0.97</v>
      </c>
      <c r="G346" s="98">
        <v>0.77</v>
      </c>
      <c r="H346" s="98">
        <v>1.41</v>
      </c>
      <c r="I346" s="98"/>
      <c r="J346" s="718">
        <v>421</v>
      </c>
      <c r="K346" s="98">
        <v>0.914323</v>
      </c>
      <c r="L346" s="98">
        <v>8.6642839999999999E-2</v>
      </c>
      <c r="M346" s="98">
        <v>0.91</v>
      </c>
      <c r="N346" s="98">
        <v>0.69</v>
      </c>
      <c r="O346" s="99">
        <v>1.21</v>
      </c>
    </row>
    <row r="347" spans="1:15" s="86" customFormat="1" ht="15" x14ac:dyDescent="0.25">
      <c r="A347" s="1286" t="s">
        <v>518</v>
      </c>
      <c r="B347" s="855" t="s">
        <v>837</v>
      </c>
      <c r="C347" s="856">
        <v>560</v>
      </c>
      <c r="D347" s="857">
        <v>50.271430000000002</v>
      </c>
      <c r="E347" s="857">
        <v>10.202669999999999</v>
      </c>
      <c r="F347" s="857">
        <v>48.9</v>
      </c>
      <c r="G347" s="857">
        <v>35.1</v>
      </c>
      <c r="H347" s="857">
        <v>76.400000000000006</v>
      </c>
      <c r="I347" s="857"/>
      <c r="J347" s="858">
        <v>417</v>
      </c>
      <c r="K347" s="857">
        <v>50.929499999999997</v>
      </c>
      <c r="L347" s="857">
        <v>9.8696219999999997</v>
      </c>
      <c r="M347" s="857">
        <v>49.7</v>
      </c>
      <c r="N347" s="857">
        <v>31.4</v>
      </c>
      <c r="O347" s="710">
        <v>74.400000000000006</v>
      </c>
    </row>
    <row r="348" spans="1:15" s="86" customFormat="1" ht="15" x14ac:dyDescent="0.25">
      <c r="A348" s="1287"/>
      <c r="B348" s="87" t="s">
        <v>838</v>
      </c>
      <c r="C348" s="88">
        <v>560</v>
      </c>
      <c r="D348" s="711">
        <v>27.080539999999999</v>
      </c>
      <c r="E348" s="711">
        <v>4.0928620000000002</v>
      </c>
      <c r="F348" s="711">
        <v>26.55</v>
      </c>
      <c r="G348" s="711">
        <v>15.9</v>
      </c>
      <c r="H348" s="711">
        <v>45.2</v>
      </c>
      <c r="I348" s="711"/>
      <c r="J348" s="717">
        <v>417</v>
      </c>
      <c r="K348" s="711">
        <v>28.375299999999999</v>
      </c>
      <c r="L348" s="711">
        <v>4.7444389999999999</v>
      </c>
      <c r="M348" s="711">
        <v>27.8</v>
      </c>
      <c r="N348" s="711">
        <v>18.8</v>
      </c>
      <c r="O348" s="712">
        <v>52.1</v>
      </c>
    </row>
    <row r="349" spans="1:15" s="86" customFormat="1" ht="15" x14ac:dyDescent="0.25">
      <c r="A349" s="1287"/>
      <c r="B349" s="87" t="s">
        <v>839</v>
      </c>
      <c r="C349" s="88">
        <v>560</v>
      </c>
      <c r="D349" s="711">
        <v>78.845359999999999</v>
      </c>
      <c r="E349" s="711">
        <v>13.62717</v>
      </c>
      <c r="F349" s="711">
        <v>77.2</v>
      </c>
      <c r="G349" s="711">
        <v>46</v>
      </c>
      <c r="H349" s="711">
        <v>140.4</v>
      </c>
      <c r="I349" s="711"/>
      <c r="J349" s="717">
        <v>417</v>
      </c>
      <c r="K349" s="711">
        <v>69.63261</v>
      </c>
      <c r="L349" s="711">
        <v>12.85247</v>
      </c>
      <c r="M349" s="711">
        <v>67.900000000000006</v>
      </c>
      <c r="N349" s="711">
        <v>43.1</v>
      </c>
      <c r="O349" s="712">
        <v>140</v>
      </c>
    </row>
    <row r="350" spans="1:15" s="86" customFormat="1" ht="15" x14ac:dyDescent="0.25">
      <c r="A350" s="1287"/>
      <c r="B350" s="87" t="s">
        <v>840</v>
      </c>
      <c r="C350" s="88">
        <v>560</v>
      </c>
      <c r="D350" s="711">
        <v>170.4614</v>
      </c>
      <c r="E350" s="711">
        <v>6.6526129999999997</v>
      </c>
      <c r="F350" s="711">
        <v>170</v>
      </c>
      <c r="G350" s="711">
        <v>150</v>
      </c>
      <c r="H350" s="711">
        <v>191.1</v>
      </c>
      <c r="I350" s="711"/>
      <c r="J350" s="717">
        <v>417</v>
      </c>
      <c r="K350" s="711">
        <v>156.512</v>
      </c>
      <c r="L350" s="711">
        <v>5.7276569999999998</v>
      </c>
      <c r="M350" s="711">
        <v>156</v>
      </c>
      <c r="N350" s="711">
        <v>140.5</v>
      </c>
      <c r="O350" s="712">
        <v>173</v>
      </c>
    </row>
    <row r="351" spans="1:15" s="86" customFormat="1" ht="15" x14ac:dyDescent="0.25">
      <c r="A351" s="1287"/>
      <c r="B351" s="87" t="s">
        <v>841</v>
      </c>
      <c r="C351" s="88">
        <v>560</v>
      </c>
      <c r="D351" s="711">
        <v>97.559820000000002</v>
      </c>
      <c r="E351" s="711">
        <v>10.442259999999999</v>
      </c>
      <c r="F351" s="711">
        <v>97</v>
      </c>
      <c r="G351" s="711">
        <v>73</v>
      </c>
      <c r="H351" s="711">
        <v>140</v>
      </c>
      <c r="I351" s="711"/>
      <c r="J351" s="717">
        <v>417</v>
      </c>
      <c r="K351" s="711">
        <v>95.743170000000006</v>
      </c>
      <c r="L351" s="711">
        <v>12.135540000000001</v>
      </c>
      <c r="M351" s="711">
        <v>95</v>
      </c>
      <c r="N351" s="711">
        <v>64.2</v>
      </c>
      <c r="O351" s="712">
        <v>134</v>
      </c>
    </row>
    <row r="352" spans="1:15" s="86" customFormat="1" ht="15" x14ac:dyDescent="0.25">
      <c r="A352" s="1287"/>
      <c r="B352" s="87" t="s">
        <v>843</v>
      </c>
      <c r="C352" s="88">
        <v>560</v>
      </c>
      <c r="D352" s="711">
        <v>100.995</v>
      </c>
      <c r="E352" s="711">
        <v>7.7849709999999996</v>
      </c>
      <c r="F352" s="711">
        <v>100</v>
      </c>
      <c r="G352" s="711">
        <v>80</v>
      </c>
      <c r="H352" s="711">
        <v>138</v>
      </c>
      <c r="I352" s="711"/>
      <c r="J352" s="717">
        <v>417</v>
      </c>
      <c r="K352" s="711">
        <v>103.3357</v>
      </c>
      <c r="L352" s="711">
        <v>9.0068909999999995</v>
      </c>
      <c r="M352" s="711">
        <v>102</v>
      </c>
      <c r="N352" s="711">
        <v>80</v>
      </c>
      <c r="O352" s="712">
        <v>146</v>
      </c>
    </row>
    <row r="353" spans="1:15" s="86" customFormat="1" ht="15" x14ac:dyDescent="0.25">
      <c r="A353" s="1288"/>
      <c r="B353" s="89" t="s">
        <v>844</v>
      </c>
      <c r="C353" s="90">
        <v>560</v>
      </c>
      <c r="D353" s="98">
        <v>0.96078569999999996</v>
      </c>
      <c r="E353" s="98">
        <v>6.3531359999999995E-2</v>
      </c>
      <c r="F353" s="98">
        <v>0.96</v>
      </c>
      <c r="G353" s="98">
        <v>0.79</v>
      </c>
      <c r="H353" s="98">
        <v>1.21</v>
      </c>
      <c r="I353" s="98"/>
      <c r="J353" s="718">
        <v>417</v>
      </c>
      <c r="K353" s="98">
        <v>0.92237409999999997</v>
      </c>
      <c r="L353" s="98">
        <v>8.9232160000000005E-2</v>
      </c>
      <c r="M353" s="98">
        <v>0.92</v>
      </c>
      <c r="N353" s="98">
        <v>0.64</v>
      </c>
      <c r="O353" s="99">
        <v>1.28</v>
      </c>
    </row>
    <row r="354" spans="1:15" s="86" customFormat="1" ht="15" x14ac:dyDescent="0.25">
      <c r="A354" s="1286" t="s">
        <v>865</v>
      </c>
      <c r="B354" s="855" t="s">
        <v>837</v>
      </c>
      <c r="C354" s="856">
        <v>762</v>
      </c>
      <c r="D354" s="857">
        <v>62.29</v>
      </c>
      <c r="E354" s="857">
        <v>10.210000000000001</v>
      </c>
      <c r="F354" s="857">
        <v>62.5</v>
      </c>
      <c r="G354" s="857">
        <v>45</v>
      </c>
      <c r="H354" s="857">
        <v>84</v>
      </c>
      <c r="I354" s="857"/>
      <c r="J354" s="858">
        <v>893</v>
      </c>
      <c r="K354" s="857">
        <v>62.19</v>
      </c>
      <c r="L354" s="857">
        <v>9.98</v>
      </c>
      <c r="M354" s="857">
        <v>63</v>
      </c>
      <c r="N354" s="857">
        <v>45</v>
      </c>
      <c r="O354" s="710">
        <v>84</v>
      </c>
    </row>
    <row r="355" spans="1:15" s="86" customFormat="1" ht="15" x14ac:dyDescent="0.25">
      <c r="A355" s="1287"/>
      <c r="B355" s="87" t="s">
        <v>838</v>
      </c>
      <c r="C355" s="88">
        <v>762</v>
      </c>
      <c r="D355" s="711">
        <v>28.75</v>
      </c>
      <c r="E355" s="711">
        <v>4.7</v>
      </c>
      <c r="F355" s="711">
        <v>28.5</v>
      </c>
      <c r="G355" s="711">
        <v>15.92</v>
      </c>
      <c r="H355" s="711">
        <v>46.9</v>
      </c>
      <c r="I355" s="711"/>
      <c r="J355" s="717">
        <v>893</v>
      </c>
      <c r="K355" s="711">
        <v>31.25</v>
      </c>
      <c r="L355" s="711">
        <v>6.34</v>
      </c>
      <c r="M355" s="711">
        <v>30.37</v>
      </c>
      <c r="N355" s="711">
        <v>15.87</v>
      </c>
      <c r="O355" s="712">
        <v>51.12</v>
      </c>
    </row>
    <row r="356" spans="1:15" s="86" customFormat="1" ht="15" x14ac:dyDescent="0.25">
      <c r="A356" s="1287"/>
      <c r="B356" s="87" t="s">
        <v>839</v>
      </c>
      <c r="C356" s="88">
        <v>762</v>
      </c>
      <c r="D356" s="711">
        <v>89.15</v>
      </c>
      <c r="E356" s="711">
        <v>16.29</v>
      </c>
      <c r="F356" s="711">
        <v>87.75</v>
      </c>
      <c r="G356" s="711">
        <v>45.5</v>
      </c>
      <c r="H356" s="711">
        <v>142.61000000000001</v>
      </c>
      <c r="I356" s="711"/>
      <c r="J356" s="717">
        <v>893</v>
      </c>
      <c r="K356" s="711">
        <v>82.25</v>
      </c>
      <c r="L356" s="711">
        <v>17.39</v>
      </c>
      <c r="M356" s="711">
        <v>79.56</v>
      </c>
      <c r="N356" s="711">
        <v>39.46</v>
      </c>
      <c r="O356" s="712">
        <v>141.69999999999999</v>
      </c>
    </row>
    <row r="357" spans="1:15" s="86" customFormat="1" ht="15" x14ac:dyDescent="0.25">
      <c r="A357" s="1287"/>
      <c r="B357" s="87" t="s">
        <v>840</v>
      </c>
      <c r="C357" s="88">
        <v>762</v>
      </c>
      <c r="D357" s="711">
        <v>175.91</v>
      </c>
      <c r="E357" s="711">
        <v>6.94</v>
      </c>
      <c r="F357" s="711">
        <v>176</v>
      </c>
      <c r="G357" s="711">
        <v>152.5</v>
      </c>
      <c r="H357" s="711">
        <v>196.7</v>
      </c>
      <c r="I357" s="711"/>
      <c r="J357" s="717">
        <v>893</v>
      </c>
      <c r="K357" s="711">
        <v>162.21</v>
      </c>
      <c r="L357" s="711">
        <v>6.55</v>
      </c>
      <c r="M357" s="711">
        <v>162</v>
      </c>
      <c r="N357" s="711">
        <v>136.9</v>
      </c>
      <c r="O357" s="712">
        <v>184.8</v>
      </c>
    </row>
    <row r="358" spans="1:15" s="86" customFormat="1" ht="15" x14ac:dyDescent="0.25">
      <c r="A358" s="1287"/>
      <c r="B358" s="87" t="s">
        <v>841</v>
      </c>
      <c r="C358" s="88">
        <v>762</v>
      </c>
      <c r="D358" s="711">
        <v>100.71</v>
      </c>
      <c r="E358" s="711">
        <v>12.69</v>
      </c>
      <c r="F358" s="711">
        <v>99.65</v>
      </c>
      <c r="G358" s="711">
        <v>63</v>
      </c>
      <c r="H358" s="711">
        <v>152.5</v>
      </c>
      <c r="I358" s="711"/>
      <c r="J358" s="717">
        <v>893</v>
      </c>
      <c r="K358" s="711">
        <v>101.46</v>
      </c>
      <c r="L358" s="711">
        <v>15.87</v>
      </c>
      <c r="M358" s="711">
        <v>99.8</v>
      </c>
      <c r="N358" s="711">
        <v>63</v>
      </c>
      <c r="O358" s="712">
        <v>156</v>
      </c>
    </row>
    <row r="359" spans="1:15" s="86" customFormat="1" ht="15" x14ac:dyDescent="0.25">
      <c r="A359" s="1287"/>
      <c r="B359" s="87" t="s">
        <v>843</v>
      </c>
      <c r="C359" s="88">
        <v>762</v>
      </c>
      <c r="D359" s="711">
        <v>106.06</v>
      </c>
      <c r="E359" s="711">
        <v>9.67</v>
      </c>
      <c r="F359" s="711">
        <v>105</v>
      </c>
      <c r="G359" s="711">
        <v>83.1</v>
      </c>
      <c r="H359" s="711">
        <v>149.5</v>
      </c>
      <c r="I359" s="711"/>
      <c r="J359" s="717">
        <v>893</v>
      </c>
      <c r="K359" s="711">
        <v>112.81</v>
      </c>
      <c r="L359" s="711">
        <v>12.92</v>
      </c>
      <c r="M359" s="711">
        <v>111</v>
      </c>
      <c r="N359" s="711">
        <v>83</v>
      </c>
      <c r="O359" s="712">
        <v>159</v>
      </c>
    </row>
    <row r="360" spans="1:15" s="86" customFormat="1" ht="15" x14ac:dyDescent="0.25">
      <c r="A360" s="1288"/>
      <c r="B360" s="89" t="s">
        <v>844</v>
      </c>
      <c r="C360" s="90">
        <v>762</v>
      </c>
      <c r="D360" s="98">
        <v>0.95</v>
      </c>
      <c r="E360" s="98">
        <v>0.06</v>
      </c>
      <c r="F360" s="98">
        <v>0.95</v>
      </c>
      <c r="G360" s="98">
        <v>0.74</v>
      </c>
      <c r="H360" s="98">
        <v>1.1399999999999999</v>
      </c>
      <c r="I360" s="98"/>
      <c r="J360" s="718">
        <v>893</v>
      </c>
      <c r="K360" s="98">
        <v>0.9</v>
      </c>
      <c r="L360" s="98">
        <v>0.08</v>
      </c>
      <c r="M360" s="98">
        <v>0.9</v>
      </c>
      <c r="N360" s="98">
        <v>0.67</v>
      </c>
      <c r="O360" s="99">
        <v>1.17</v>
      </c>
    </row>
    <row r="361" spans="1:15" s="86" customFormat="1" ht="15" x14ac:dyDescent="0.25">
      <c r="A361" s="1286" t="s">
        <v>866</v>
      </c>
      <c r="B361" s="855" t="s">
        <v>837</v>
      </c>
      <c r="C361" s="856">
        <v>1195</v>
      </c>
      <c r="D361" s="857">
        <v>62.72</v>
      </c>
      <c r="E361" s="857">
        <v>10.14</v>
      </c>
      <c r="F361" s="857">
        <v>63</v>
      </c>
      <c r="G361" s="857">
        <v>45</v>
      </c>
      <c r="H361" s="857">
        <v>84</v>
      </c>
      <c r="I361" s="857"/>
      <c r="J361" s="858">
        <v>1302</v>
      </c>
      <c r="K361" s="857">
        <v>62.59</v>
      </c>
      <c r="L361" s="857">
        <v>10.33</v>
      </c>
      <c r="M361" s="857">
        <v>63</v>
      </c>
      <c r="N361" s="857">
        <v>44</v>
      </c>
      <c r="O361" s="710">
        <v>84</v>
      </c>
    </row>
    <row r="362" spans="1:15" s="86" customFormat="1" ht="15" x14ac:dyDescent="0.25">
      <c r="A362" s="1287"/>
      <c r="B362" s="87" t="s">
        <v>838</v>
      </c>
      <c r="C362" s="88">
        <v>1195</v>
      </c>
      <c r="D362" s="711">
        <v>27.97</v>
      </c>
      <c r="E362" s="711">
        <v>4.0999999999999996</v>
      </c>
      <c r="F362" s="711">
        <v>27.51</v>
      </c>
      <c r="G362" s="711">
        <v>17.36</v>
      </c>
      <c r="H362" s="711">
        <v>44.26</v>
      </c>
      <c r="I362" s="711"/>
      <c r="J362" s="717">
        <v>1302</v>
      </c>
      <c r="K362" s="711">
        <v>27.43</v>
      </c>
      <c r="L362" s="711">
        <v>5.64</v>
      </c>
      <c r="M362" s="711">
        <v>26.5</v>
      </c>
      <c r="N362" s="711">
        <v>16.440000000000001</v>
      </c>
      <c r="O362" s="712">
        <v>47.97</v>
      </c>
    </row>
    <row r="363" spans="1:15" s="86" customFormat="1" ht="15" x14ac:dyDescent="0.25">
      <c r="A363" s="1287"/>
      <c r="B363" s="87" t="s">
        <v>839</v>
      </c>
      <c r="C363" s="88">
        <v>1195</v>
      </c>
      <c r="D363" s="711">
        <v>87.02</v>
      </c>
      <c r="E363" s="711">
        <v>14.32</v>
      </c>
      <c r="F363" s="711">
        <v>85.28</v>
      </c>
      <c r="G363" s="711">
        <v>44.45</v>
      </c>
      <c r="H363" s="711">
        <v>136.53</v>
      </c>
      <c r="I363" s="711"/>
      <c r="J363" s="717">
        <v>1302</v>
      </c>
      <c r="K363" s="711">
        <v>72.2</v>
      </c>
      <c r="L363" s="711">
        <v>15.54</v>
      </c>
      <c r="M363" s="711">
        <v>69.400000000000006</v>
      </c>
      <c r="N363" s="711">
        <v>39.01</v>
      </c>
      <c r="O363" s="712">
        <v>134.4</v>
      </c>
    </row>
    <row r="364" spans="1:15" s="86" customFormat="1" ht="15" x14ac:dyDescent="0.25">
      <c r="A364" s="1287"/>
      <c r="B364" s="87" t="s">
        <v>840</v>
      </c>
      <c r="C364" s="88">
        <v>1195</v>
      </c>
      <c r="D364" s="711">
        <v>176.27</v>
      </c>
      <c r="E364" s="711">
        <v>6.92</v>
      </c>
      <c r="F364" s="711">
        <v>176.2</v>
      </c>
      <c r="G364" s="711">
        <v>155.4</v>
      </c>
      <c r="H364" s="711">
        <v>202.5</v>
      </c>
      <c r="I364" s="711"/>
      <c r="J364" s="717">
        <v>1302</v>
      </c>
      <c r="K364" s="711">
        <v>162.19999999999999</v>
      </c>
      <c r="L364" s="711">
        <v>6.54</v>
      </c>
      <c r="M364" s="711">
        <v>162.05000000000001</v>
      </c>
      <c r="N364" s="711">
        <v>138</v>
      </c>
      <c r="O364" s="712">
        <v>185.8</v>
      </c>
    </row>
    <row r="365" spans="1:15" s="86" customFormat="1" ht="15" x14ac:dyDescent="0.25">
      <c r="A365" s="1287"/>
      <c r="B365" s="87" t="s">
        <v>841</v>
      </c>
      <c r="C365" s="88">
        <v>1195</v>
      </c>
      <c r="D365" s="711">
        <v>101.09</v>
      </c>
      <c r="E365" s="711">
        <v>10.99</v>
      </c>
      <c r="F365" s="711">
        <v>100</v>
      </c>
      <c r="G365" s="711">
        <v>67.5</v>
      </c>
      <c r="H365" s="711">
        <v>143.5</v>
      </c>
      <c r="I365" s="711"/>
      <c r="J365" s="717">
        <v>1302</v>
      </c>
      <c r="K365" s="711">
        <v>94.91</v>
      </c>
      <c r="L365" s="711">
        <v>15.99</v>
      </c>
      <c r="M365" s="711">
        <v>93.9</v>
      </c>
      <c r="N365" s="711">
        <v>58.5</v>
      </c>
      <c r="O365" s="712">
        <v>152</v>
      </c>
    </row>
    <row r="366" spans="1:15" s="86" customFormat="1" ht="15" x14ac:dyDescent="0.25">
      <c r="A366" s="1287"/>
      <c r="B366" s="87" t="s">
        <v>843</v>
      </c>
      <c r="C366" s="88">
        <v>1195</v>
      </c>
      <c r="D366" s="711">
        <v>105.19</v>
      </c>
      <c r="E366" s="711">
        <v>8.08</v>
      </c>
      <c r="F366" s="711">
        <v>104</v>
      </c>
      <c r="G366" s="711">
        <v>83</v>
      </c>
      <c r="H366" s="711">
        <v>138</v>
      </c>
      <c r="I366" s="711"/>
      <c r="J366" s="717">
        <v>1302</v>
      </c>
      <c r="K366" s="711">
        <v>106.85</v>
      </c>
      <c r="L366" s="711">
        <v>11.88</v>
      </c>
      <c r="M366" s="711">
        <v>104.65</v>
      </c>
      <c r="N366" s="711">
        <v>79.900000000000006</v>
      </c>
      <c r="O366" s="712">
        <v>160.19999999999999</v>
      </c>
    </row>
    <row r="367" spans="1:15" s="86" customFormat="1" ht="15" x14ac:dyDescent="0.25">
      <c r="A367" s="1288"/>
      <c r="B367" s="89" t="s">
        <v>844</v>
      </c>
      <c r="C367" s="90">
        <v>1195</v>
      </c>
      <c r="D367" s="98">
        <v>0.96</v>
      </c>
      <c r="E367" s="98">
        <v>0.06</v>
      </c>
      <c r="F367" s="98">
        <v>0.96</v>
      </c>
      <c r="G367" s="98">
        <v>0.73</v>
      </c>
      <c r="H367" s="98">
        <v>1.21</v>
      </c>
      <c r="I367" s="98"/>
      <c r="J367" s="718">
        <v>1302</v>
      </c>
      <c r="K367" s="98">
        <v>0.89</v>
      </c>
      <c r="L367" s="98">
        <v>0.09</v>
      </c>
      <c r="M367" s="98">
        <v>0.89</v>
      </c>
      <c r="N367" s="98">
        <v>0.65</v>
      </c>
      <c r="O367" s="99">
        <v>1.25</v>
      </c>
    </row>
    <row r="368" spans="1:15" s="86" customFormat="1" ht="15" x14ac:dyDescent="0.25">
      <c r="A368" s="1286" t="s">
        <v>867</v>
      </c>
      <c r="B368" s="855" t="s">
        <v>837</v>
      </c>
      <c r="C368" s="856">
        <v>379</v>
      </c>
      <c r="D368" s="857">
        <v>62.43</v>
      </c>
      <c r="E368" s="857">
        <v>10.31</v>
      </c>
      <c r="F368" s="857">
        <v>63</v>
      </c>
      <c r="G368" s="857">
        <v>44</v>
      </c>
      <c r="H368" s="857">
        <v>84</v>
      </c>
      <c r="I368" s="857"/>
      <c r="J368" s="858">
        <v>390</v>
      </c>
      <c r="K368" s="857">
        <v>62.32</v>
      </c>
      <c r="L368" s="857">
        <v>10.49</v>
      </c>
      <c r="M368" s="857">
        <v>62</v>
      </c>
      <c r="N368" s="857">
        <v>44</v>
      </c>
      <c r="O368" s="710">
        <v>84</v>
      </c>
    </row>
    <row r="369" spans="1:15" s="86" customFormat="1" ht="15" x14ac:dyDescent="0.25">
      <c r="A369" s="1287"/>
      <c r="B369" s="87" t="s">
        <v>838</v>
      </c>
      <c r="C369" s="88">
        <v>379</v>
      </c>
      <c r="D369" s="711">
        <v>24.1</v>
      </c>
      <c r="E369" s="711">
        <v>3.15</v>
      </c>
      <c r="F369" s="711">
        <v>23.74</v>
      </c>
      <c r="G369" s="711">
        <v>15.36</v>
      </c>
      <c r="H369" s="711">
        <v>33.479999999999997</v>
      </c>
      <c r="I369" s="711"/>
      <c r="J369" s="717">
        <v>390</v>
      </c>
      <c r="K369" s="711">
        <v>23.83</v>
      </c>
      <c r="L369" s="711">
        <v>3.29</v>
      </c>
      <c r="M369" s="711">
        <v>23.76</v>
      </c>
      <c r="N369" s="711">
        <v>16.63</v>
      </c>
      <c r="O369" s="712">
        <v>35.35</v>
      </c>
    </row>
    <row r="370" spans="1:15" s="86" customFormat="1" ht="15" x14ac:dyDescent="0.25">
      <c r="A370" s="1287"/>
      <c r="B370" s="87" t="s">
        <v>839</v>
      </c>
      <c r="C370" s="88">
        <v>379</v>
      </c>
      <c r="D370" s="711">
        <v>68.099999999999994</v>
      </c>
      <c r="E370" s="711">
        <v>10.4</v>
      </c>
      <c r="F370" s="711">
        <v>67.489999999999995</v>
      </c>
      <c r="G370" s="711">
        <v>42.59</v>
      </c>
      <c r="H370" s="711">
        <v>104.33</v>
      </c>
      <c r="I370" s="711"/>
      <c r="J370" s="717">
        <v>390</v>
      </c>
      <c r="K370" s="711">
        <v>57.65</v>
      </c>
      <c r="L370" s="711">
        <v>8.82</v>
      </c>
      <c r="M370" s="711">
        <v>57.61</v>
      </c>
      <c r="N370" s="711">
        <v>35.880000000000003</v>
      </c>
      <c r="O370" s="712">
        <v>82.55</v>
      </c>
    </row>
    <row r="371" spans="1:15" s="86" customFormat="1" ht="15" x14ac:dyDescent="0.25">
      <c r="A371" s="1287"/>
      <c r="B371" s="87" t="s">
        <v>840</v>
      </c>
      <c r="C371" s="88">
        <v>379</v>
      </c>
      <c r="D371" s="711">
        <v>167.96</v>
      </c>
      <c r="E371" s="711">
        <v>6.01</v>
      </c>
      <c r="F371" s="711">
        <v>168</v>
      </c>
      <c r="G371" s="711">
        <v>150.80000000000001</v>
      </c>
      <c r="H371" s="711">
        <v>188</v>
      </c>
      <c r="I371" s="711"/>
      <c r="J371" s="717">
        <v>390</v>
      </c>
      <c r="K371" s="711">
        <v>155.44999999999999</v>
      </c>
      <c r="L371" s="711">
        <v>5.72</v>
      </c>
      <c r="M371" s="711">
        <v>155.15</v>
      </c>
      <c r="N371" s="711">
        <v>137.80000000000001</v>
      </c>
      <c r="O371" s="712">
        <v>171.9</v>
      </c>
    </row>
    <row r="372" spans="1:15" s="86" customFormat="1" ht="15" x14ac:dyDescent="0.25">
      <c r="A372" s="1287"/>
      <c r="B372" s="87" t="s">
        <v>841</v>
      </c>
      <c r="C372" s="88">
        <v>379</v>
      </c>
      <c r="D372" s="711">
        <v>87.87</v>
      </c>
      <c r="E372" s="711">
        <v>9.14</v>
      </c>
      <c r="F372" s="711">
        <v>87.7</v>
      </c>
      <c r="G372" s="711">
        <v>58.6</v>
      </c>
      <c r="H372" s="711">
        <v>112.7</v>
      </c>
      <c r="I372" s="711"/>
      <c r="J372" s="717">
        <v>390</v>
      </c>
      <c r="K372" s="711">
        <v>86.26</v>
      </c>
      <c r="L372" s="711">
        <v>10.039999999999999</v>
      </c>
      <c r="M372" s="711">
        <v>85.4</v>
      </c>
      <c r="N372" s="711">
        <v>61</v>
      </c>
      <c r="O372" s="712">
        <v>120.5</v>
      </c>
    </row>
    <row r="373" spans="1:15" s="86" customFormat="1" ht="15" x14ac:dyDescent="0.25">
      <c r="A373" s="1287"/>
      <c r="B373" s="87" t="s">
        <v>843</v>
      </c>
      <c r="C373" s="88">
        <v>379</v>
      </c>
      <c r="D373" s="711">
        <v>94.64</v>
      </c>
      <c r="E373" s="711">
        <v>5.79</v>
      </c>
      <c r="F373" s="711">
        <v>94.7</v>
      </c>
      <c r="G373" s="711">
        <v>77.099999999999994</v>
      </c>
      <c r="H373" s="711">
        <v>113.5</v>
      </c>
      <c r="I373" s="711"/>
      <c r="J373" s="717">
        <v>390</v>
      </c>
      <c r="K373" s="711">
        <v>94.97</v>
      </c>
      <c r="L373" s="711">
        <v>6.84</v>
      </c>
      <c r="M373" s="711">
        <v>94.65</v>
      </c>
      <c r="N373" s="711">
        <v>77</v>
      </c>
      <c r="O373" s="712">
        <v>119</v>
      </c>
    </row>
    <row r="374" spans="1:15" s="86" customFormat="1" ht="15" x14ac:dyDescent="0.25">
      <c r="A374" s="1288"/>
      <c r="B374" s="89" t="s">
        <v>844</v>
      </c>
      <c r="C374" s="90">
        <v>379</v>
      </c>
      <c r="D374" s="98">
        <v>0.93</v>
      </c>
      <c r="E374" s="98">
        <v>0.06</v>
      </c>
      <c r="F374" s="98">
        <v>0.92</v>
      </c>
      <c r="G374" s="98">
        <v>0.73</v>
      </c>
      <c r="H374" s="98">
        <v>1.1100000000000001</v>
      </c>
      <c r="I374" s="98"/>
      <c r="J374" s="718">
        <v>390</v>
      </c>
      <c r="K374" s="98">
        <v>0.91</v>
      </c>
      <c r="L374" s="98">
        <v>7.0000000000000007E-2</v>
      </c>
      <c r="M374" s="98">
        <v>0.91</v>
      </c>
      <c r="N374" s="98">
        <v>0.72</v>
      </c>
      <c r="O374" s="99">
        <v>1.1100000000000001</v>
      </c>
    </row>
    <row r="375" spans="1:15" s="86" customFormat="1" ht="15" x14ac:dyDescent="0.25">
      <c r="A375" s="1286" t="s">
        <v>868</v>
      </c>
      <c r="B375" s="855" t="s">
        <v>837</v>
      </c>
      <c r="C375" s="856">
        <v>697</v>
      </c>
      <c r="D375" s="857">
        <v>61.17</v>
      </c>
      <c r="E375" s="857">
        <v>10.28</v>
      </c>
      <c r="F375" s="857">
        <v>61</v>
      </c>
      <c r="G375" s="857">
        <v>44</v>
      </c>
      <c r="H375" s="857">
        <v>84</v>
      </c>
      <c r="I375" s="857"/>
      <c r="J375" s="858">
        <v>738</v>
      </c>
      <c r="K375" s="857">
        <v>61.7</v>
      </c>
      <c r="L375" s="857">
        <v>10.31</v>
      </c>
      <c r="M375" s="857">
        <v>61</v>
      </c>
      <c r="N375" s="857">
        <v>44</v>
      </c>
      <c r="O375" s="710">
        <v>84</v>
      </c>
    </row>
    <row r="376" spans="1:15" s="86" customFormat="1" ht="15" x14ac:dyDescent="0.25">
      <c r="A376" s="1287"/>
      <c r="B376" s="87" t="s">
        <v>838</v>
      </c>
      <c r="C376" s="88">
        <v>697</v>
      </c>
      <c r="D376" s="711">
        <v>28.76</v>
      </c>
      <c r="E376" s="711">
        <v>4.34</v>
      </c>
      <c r="F376" s="711">
        <v>28.45</v>
      </c>
      <c r="G376" s="711">
        <v>17.57</v>
      </c>
      <c r="H376" s="711">
        <v>46.28</v>
      </c>
      <c r="I376" s="711"/>
      <c r="J376" s="717">
        <v>738</v>
      </c>
      <c r="K376" s="711">
        <v>29.98</v>
      </c>
      <c r="L376" s="711">
        <v>5.49</v>
      </c>
      <c r="M376" s="711">
        <v>29.24</v>
      </c>
      <c r="N376" s="711">
        <v>18.3</v>
      </c>
      <c r="O376" s="712">
        <v>49.81</v>
      </c>
    </row>
    <row r="377" spans="1:15" s="86" customFormat="1" ht="15" x14ac:dyDescent="0.25">
      <c r="A377" s="1287"/>
      <c r="B377" s="87" t="s">
        <v>839</v>
      </c>
      <c r="C377" s="88">
        <v>697</v>
      </c>
      <c r="D377" s="711">
        <v>82.14</v>
      </c>
      <c r="E377" s="711">
        <v>14.07</v>
      </c>
      <c r="F377" s="711">
        <v>80.83</v>
      </c>
      <c r="G377" s="711">
        <v>45.72</v>
      </c>
      <c r="H377" s="711">
        <v>145.97</v>
      </c>
      <c r="I377" s="711"/>
      <c r="J377" s="717">
        <v>738</v>
      </c>
      <c r="K377" s="711">
        <v>72.319999999999993</v>
      </c>
      <c r="L377" s="711">
        <v>14.32</v>
      </c>
      <c r="M377" s="711">
        <v>70.19</v>
      </c>
      <c r="N377" s="711">
        <v>32.479999999999997</v>
      </c>
      <c r="O377" s="712">
        <v>127.01</v>
      </c>
    </row>
    <row r="378" spans="1:15" s="86" customFormat="1" ht="15" x14ac:dyDescent="0.25">
      <c r="A378" s="1287"/>
      <c r="B378" s="87" t="s">
        <v>840</v>
      </c>
      <c r="C378" s="88">
        <v>697</v>
      </c>
      <c r="D378" s="711">
        <v>168.87</v>
      </c>
      <c r="E378" s="711">
        <v>6.59</v>
      </c>
      <c r="F378" s="711">
        <v>169</v>
      </c>
      <c r="G378" s="711">
        <v>148.9</v>
      </c>
      <c r="H378" s="711">
        <v>188.7</v>
      </c>
      <c r="I378" s="711"/>
      <c r="J378" s="717">
        <v>738</v>
      </c>
      <c r="K378" s="711">
        <v>155.21</v>
      </c>
      <c r="L378" s="711">
        <v>6.2</v>
      </c>
      <c r="M378" s="711">
        <v>155.30000000000001</v>
      </c>
      <c r="N378" s="711">
        <v>123.8</v>
      </c>
      <c r="O378" s="712">
        <v>178.8</v>
      </c>
    </row>
    <row r="379" spans="1:15" s="86" customFormat="1" ht="15" x14ac:dyDescent="0.25">
      <c r="A379" s="1287"/>
      <c r="B379" s="87" t="s">
        <v>841</v>
      </c>
      <c r="C379" s="88">
        <v>697</v>
      </c>
      <c r="D379" s="711">
        <v>100.79</v>
      </c>
      <c r="E379" s="711">
        <v>11.36</v>
      </c>
      <c r="F379" s="711">
        <v>99.5</v>
      </c>
      <c r="G379" s="711">
        <v>68.2</v>
      </c>
      <c r="H379" s="711">
        <v>147.4</v>
      </c>
      <c r="I379" s="711"/>
      <c r="J379" s="717">
        <v>738</v>
      </c>
      <c r="K379" s="711">
        <v>100.34</v>
      </c>
      <c r="L379" s="711">
        <v>14.15</v>
      </c>
      <c r="M379" s="711">
        <v>99.15</v>
      </c>
      <c r="N379" s="711">
        <v>61.8</v>
      </c>
      <c r="O379" s="712">
        <v>159.9</v>
      </c>
    </row>
    <row r="380" spans="1:15" s="86" customFormat="1" ht="15" x14ac:dyDescent="0.25">
      <c r="A380" s="1287"/>
      <c r="B380" s="87" t="s">
        <v>843</v>
      </c>
      <c r="C380" s="88">
        <v>697</v>
      </c>
      <c r="D380" s="711">
        <v>102.55</v>
      </c>
      <c r="E380" s="711">
        <v>8.77</v>
      </c>
      <c r="F380" s="711">
        <v>101.4</v>
      </c>
      <c r="G380" s="711">
        <v>83.8</v>
      </c>
      <c r="H380" s="711">
        <v>151.9</v>
      </c>
      <c r="I380" s="711"/>
      <c r="J380" s="717">
        <v>738</v>
      </c>
      <c r="K380" s="711">
        <v>107.59</v>
      </c>
      <c r="L380" s="711">
        <v>11.29</v>
      </c>
      <c r="M380" s="711">
        <v>106.1</v>
      </c>
      <c r="N380" s="711">
        <v>76.900000000000006</v>
      </c>
      <c r="O380" s="712">
        <v>160.6</v>
      </c>
    </row>
    <row r="381" spans="1:15" s="86" customFormat="1" ht="15" x14ac:dyDescent="0.25">
      <c r="A381" s="1288"/>
      <c r="B381" s="89" t="s">
        <v>844</v>
      </c>
      <c r="C381" s="90">
        <v>697</v>
      </c>
      <c r="D381" s="98">
        <v>0.98</v>
      </c>
      <c r="E381" s="98">
        <v>0.05</v>
      </c>
      <c r="F381" s="98">
        <v>0.98</v>
      </c>
      <c r="G381" s="98">
        <v>0.76</v>
      </c>
      <c r="H381" s="98">
        <v>1.1299999999999999</v>
      </c>
      <c r="I381" s="98"/>
      <c r="J381" s="718">
        <v>738</v>
      </c>
      <c r="K381" s="98">
        <v>0.93</v>
      </c>
      <c r="L381" s="98">
        <v>7.0000000000000007E-2</v>
      </c>
      <c r="M381" s="98">
        <v>0.94</v>
      </c>
      <c r="N381" s="98">
        <v>0.72</v>
      </c>
      <c r="O381" s="99">
        <v>1.1599999999999999</v>
      </c>
    </row>
    <row r="382" spans="1:15" s="86" customFormat="1" ht="15" x14ac:dyDescent="0.25">
      <c r="A382" s="1286" t="s">
        <v>526</v>
      </c>
      <c r="B382" s="855" t="s">
        <v>837</v>
      </c>
      <c r="C382" s="856">
        <v>8387</v>
      </c>
      <c r="D382" s="857">
        <v>57.750100000000003</v>
      </c>
      <c r="E382" s="857">
        <v>7.1675000000000004</v>
      </c>
      <c r="F382" s="857">
        <v>57</v>
      </c>
      <c r="G382" s="857">
        <v>45</v>
      </c>
      <c r="H382" s="857">
        <v>74</v>
      </c>
      <c r="I382" s="857"/>
      <c r="J382" s="858" t="s">
        <v>842</v>
      </c>
      <c r="K382" s="857" t="s">
        <v>842</v>
      </c>
      <c r="L382" s="857" t="s">
        <v>842</v>
      </c>
      <c r="M382" s="857" t="s">
        <v>842</v>
      </c>
      <c r="N382" s="857" t="s">
        <v>842</v>
      </c>
      <c r="O382" s="710" t="s">
        <v>842</v>
      </c>
    </row>
    <row r="383" spans="1:15" s="86" customFormat="1" ht="15" x14ac:dyDescent="0.25">
      <c r="A383" s="1287"/>
      <c r="B383" s="87" t="s">
        <v>838</v>
      </c>
      <c r="C383" s="88">
        <v>8387</v>
      </c>
      <c r="D383" s="711">
        <v>27.335799999999999</v>
      </c>
      <c r="E383" s="711">
        <v>4.2085999999999997</v>
      </c>
      <c r="F383" s="711">
        <v>26.697500000000002</v>
      </c>
      <c r="G383" s="711">
        <v>16.9467</v>
      </c>
      <c r="H383" s="711">
        <v>52.105899999999998</v>
      </c>
      <c r="I383" s="711"/>
      <c r="J383" s="717" t="s">
        <v>842</v>
      </c>
      <c r="K383" s="711" t="s">
        <v>842</v>
      </c>
      <c r="L383" s="711" t="s">
        <v>842</v>
      </c>
      <c r="M383" s="711" t="s">
        <v>842</v>
      </c>
      <c r="N383" s="711" t="s">
        <v>842</v>
      </c>
      <c r="O383" s="712" t="s">
        <v>842</v>
      </c>
    </row>
    <row r="384" spans="1:15" s="86" customFormat="1" ht="15" x14ac:dyDescent="0.25">
      <c r="A384" s="1287"/>
      <c r="B384" s="87" t="s">
        <v>839</v>
      </c>
      <c r="C384" s="88">
        <v>8387</v>
      </c>
      <c r="D384" s="711">
        <v>84.651499999999999</v>
      </c>
      <c r="E384" s="711">
        <v>14.151899999999999</v>
      </c>
      <c r="F384" s="711">
        <v>83</v>
      </c>
      <c r="G384" s="711">
        <v>45</v>
      </c>
      <c r="H384" s="711">
        <v>165.5</v>
      </c>
      <c r="I384" s="711"/>
      <c r="J384" s="717" t="s">
        <v>842</v>
      </c>
      <c r="K384" s="711" t="s">
        <v>842</v>
      </c>
      <c r="L384" s="711" t="s">
        <v>842</v>
      </c>
      <c r="M384" s="711" t="s">
        <v>842</v>
      </c>
      <c r="N384" s="711" t="s">
        <v>842</v>
      </c>
      <c r="O384" s="712" t="s">
        <v>842</v>
      </c>
    </row>
    <row r="385" spans="1:15" s="86" customFormat="1" ht="15" x14ac:dyDescent="0.25">
      <c r="A385" s="1287"/>
      <c r="B385" s="87" t="s">
        <v>840</v>
      </c>
      <c r="C385" s="88">
        <v>8387</v>
      </c>
      <c r="D385" s="711">
        <v>175.90119999999999</v>
      </c>
      <c r="E385" s="711">
        <v>6.3308999999999997</v>
      </c>
      <c r="F385" s="711">
        <v>176</v>
      </c>
      <c r="G385" s="711">
        <v>147</v>
      </c>
      <c r="H385" s="711">
        <v>203</v>
      </c>
      <c r="I385" s="711"/>
      <c r="J385" s="717" t="s">
        <v>842</v>
      </c>
      <c r="K385" s="711" t="s">
        <v>842</v>
      </c>
      <c r="L385" s="711" t="s">
        <v>842</v>
      </c>
      <c r="M385" s="711" t="s">
        <v>842</v>
      </c>
      <c r="N385" s="711" t="s">
        <v>842</v>
      </c>
      <c r="O385" s="712" t="s">
        <v>842</v>
      </c>
    </row>
    <row r="386" spans="1:15" s="86" customFormat="1" ht="15" x14ac:dyDescent="0.25">
      <c r="A386" s="1287"/>
      <c r="B386" s="87" t="s">
        <v>841</v>
      </c>
      <c r="C386" s="88">
        <v>8387</v>
      </c>
      <c r="D386" s="711">
        <v>98.918700000000001</v>
      </c>
      <c r="E386" s="711">
        <v>11.5817</v>
      </c>
      <c r="F386" s="711">
        <v>97.5</v>
      </c>
      <c r="G386" s="711">
        <v>68.5</v>
      </c>
      <c r="H386" s="711">
        <v>157.5</v>
      </c>
      <c r="I386" s="711"/>
      <c r="J386" s="717" t="s">
        <v>842</v>
      </c>
      <c r="K386" s="711" t="s">
        <v>842</v>
      </c>
      <c r="L386" s="711" t="s">
        <v>842</v>
      </c>
      <c r="M386" s="711" t="s">
        <v>842</v>
      </c>
      <c r="N386" s="711" t="s">
        <v>842</v>
      </c>
      <c r="O386" s="712" t="s">
        <v>842</v>
      </c>
    </row>
    <row r="387" spans="1:15" s="86" customFormat="1" ht="15" x14ac:dyDescent="0.25">
      <c r="A387" s="1287"/>
      <c r="B387" s="87" t="s">
        <v>843</v>
      </c>
      <c r="C387" s="88">
        <v>8387</v>
      </c>
      <c r="D387" s="711">
        <v>101.3246</v>
      </c>
      <c r="E387" s="711">
        <v>7.1288999999999998</v>
      </c>
      <c r="F387" s="711">
        <v>100</v>
      </c>
      <c r="G387" s="711">
        <v>72</v>
      </c>
      <c r="H387" s="711">
        <v>160</v>
      </c>
      <c r="I387" s="711"/>
      <c r="J387" s="717" t="s">
        <v>842</v>
      </c>
      <c r="K387" s="711" t="s">
        <v>842</v>
      </c>
      <c r="L387" s="711" t="s">
        <v>842</v>
      </c>
      <c r="M387" s="711" t="s">
        <v>842</v>
      </c>
      <c r="N387" s="711" t="s">
        <v>842</v>
      </c>
      <c r="O387" s="712" t="s">
        <v>842</v>
      </c>
    </row>
    <row r="388" spans="1:15" s="86" customFormat="1" ht="15" x14ac:dyDescent="0.25">
      <c r="A388" s="1288"/>
      <c r="B388" s="89" t="s">
        <v>844</v>
      </c>
      <c r="C388" s="90">
        <v>8387</v>
      </c>
      <c r="D388" s="98">
        <v>0.97440000000000004</v>
      </c>
      <c r="E388" s="98">
        <v>6.6600000000000006E-2</v>
      </c>
      <c r="F388" s="98">
        <v>0.97030000000000005</v>
      </c>
      <c r="G388" s="98">
        <v>0.76039999999999996</v>
      </c>
      <c r="H388" s="98">
        <v>1.4443999999999999</v>
      </c>
      <c r="I388" s="98"/>
      <c r="J388" s="718" t="s">
        <v>842</v>
      </c>
      <c r="K388" s="98" t="s">
        <v>842</v>
      </c>
      <c r="L388" s="98" t="s">
        <v>842</v>
      </c>
      <c r="M388" s="98" t="s">
        <v>842</v>
      </c>
      <c r="N388" s="98" t="s">
        <v>842</v>
      </c>
      <c r="O388" s="99" t="s">
        <v>842</v>
      </c>
    </row>
    <row r="389" spans="1:15" s="86" customFormat="1" ht="15" x14ac:dyDescent="0.25">
      <c r="A389" s="1286" t="s">
        <v>530</v>
      </c>
      <c r="B389" s="855" t="s">
        <v>837</v>
      </c>
      <c r="C389" s="856">
        <v>5582</v>
      </c>
      <c r="D389" s="857">
        <v>64.400000000000006</v>
      </c>
      <c r="E389" s="857">
        <v>10.48</v>
      </c>
      <c r="F389" s="857">
        <v>66</v>
      </c>
      <c r="G389" s="857">
        <v>18</v>
      </c>
      <c r="H389" s="857">
        <v>90</v>
      </c>
      <c r="I389" s="857"/>
      <c r="J389" s="858">
        <v>3913</v>
      </c>
      <c r="K389" s="857">
        <v>62.84</v>
      </c>
      <c r="L389" s="857">
        <v>11.41</v>
      </c>
      <c r="M389" s="857">
        <v>64</v>
      </c>
      <c r="N389" s="857">
        <v>19</v>
      </c>
      <c r="O389" s="710">
        <v>92</v>
      </c>
    </row>
    <row r="390" spans="1:15" s="86" customFormat="1" ht="15" x14ac:dyDescent="0.25">
      <c r="A390" s="1287"/>
      <c r="B390" s="87" t="s">
        <v>838</v>
      </c>
      <c r="C390" s="88">
        <v>5582</v>
      </c>
      <c r="D390" s="711">
        <v>28.9</v>
      </c>
      <c r="E390" s="711">
        <v>4.7300000000000004</v>
      </c>
      <c r="F390" s="711">
        <v>28.3</v>
      </c>
      <c r="G390" s="711">
        <v>15.9</v>
      </c>
      <c r="H390" s="711">
        <v>71</v>
      </c>
      <c r="I390" s="711"/>
      <c r="J390" s="717">
        <v>3913</v>
      </c>
      <c r="K390" s="711">
        <v>27.91</v>
      </c>
      <c r="L390" s="711">
        <v>5.83</v>
      </c>
      <c r="M390" s="711">
        <v>27</v>
      </c>
      <c r="N390" s="711">
        <v>14.5</v>
      </c>
      <c r="O390" s="712">
        <v>60.7</v>
      </c>
    </row>
    <row r="391" spans="1:15" s="86" customFormat="1" ht="15" x14ac:dyDescent="0.25">
      <c r="A391" s="1287"/>
      <c r="B391" s="87" t="s">
        <v>839</v>
      </c>
      <c r="C391" s="88">
        <v>5582</v>
      </c>
      <c r="D391" s="711">
        <v>85.9</v>
      </c>
      <c r="E391" s="711">
        <v>15.27</v>
      </c>
      <c r="F391" s="711">
        <v>84</v>
      </c>
      <c r="G391" s="711">
        <v>47</v>
      </c>
      <c r="H391" s="711">
        <v>217.5</v>
      </c>
      <c r="I391" s="711"/>
      <c r="J391" s="717">
        <v>3913</v>
      </c>
      <c r="K391" s="711">
        <v>70.72</v>
      </c>
      <c r="L391" s="711">
        <v>14.98</v>
      </c>
      <c r="M391" s="711">
        <v>68</v>
      </c>
      <c r="N391" s="711">
        <v>37</v>
      </c>
      <c r="O391" s="712">
        <v>146.06</v>
      </c>
    </row>
    <row r="392" spans="1:15" s="86" customFormat="1" ht="15" x14ac:dyDescent="0.25">
      <c r="A392" s="1287"/>
      <c r="B392" s="87" t="s">
        <v>840</v>
      </c>
      <c r="C392" s="88">
        <v>5582</v>
      </c>
      <c r="D392" s="711">
        <v>172</v>
      </c>
      <c r="E392" s="711">
        <v>7</v>
      </c>
      <c r="F392" s="711">
        <v>172</v>
      </c>
      <c r="G392" s="711">
        <v>100</v>
      </c>
      <c r="H392" s="711">
        <v>207</v>
      </c>
      <c r="I392" s="711"/>
      <c r="J392" s="717">
        <v>3913</v>
      </c>
      <c r="K392" s="711">
        <v>159</v>
      </c>
      <c r="L392" s="711">
        <v>7</v>
      </c>
      <c r="M392" s="711">
        <v>159</v>
      </c>
      <c r="N392" s="711">
        <v>125</v>
      </c>
      <c r="O392" s="712">
        <v>189</v>
      </c>
    </row>
    <row r="393" spans="1:15" s="86" customFormat="1" ht="15" x14ac:dyDescent="0.25">
      <c r="A393" s="1287"/>
      <c r="B393" s="87" t="s">
        <v>841</v>
      </c>
      <c r="C393" s="88">
        <v>5582</v>
      </c>
      <c r="D393" s="711">
        <v>102.9</v>
      </c>
      <c r="E393" s="711">
        <v>12.33</v>
      </c>
      <c r="F393" s="711">
        <v>102</v>
      </c>
      <c r="G393" s="711">
        <v>64</v>
      </c>
      <c r="H393" s="711">
        <v>184</v>
      </c>
      <c r="I393" s="711"/>
      <c r="J393" s="717">
        <v>3913</v>
      </c>
      <c r="K393" s="711">
        <v>90.87</v>
      </c>
      <c r="L393" s="711">
        <v>14.16</v>
      </c>
      <c r="M393" s="711">
        <v>90</v>
      </c>
      <c r="N393" s="711">
        <v>51</v>
      </c>
      <c r="O393" s="712">
        <v>160</v>
      </c>
    </row>
    <row r="394" spans="1:15" s="86" customFormat="1" ht="15" x14ac:dyDescent="0.25">
      <c r="A394" s="1287"/>
      <c r="B394" s="87" t="s">
        <v>843</v>
      </c>
      <c r="C394" s="88">
        <v>5582</v>
      </c>
      <c r="D394" s="711">
        <v>104.9</v>
      </c>
      <c r="E394" s="711">
        <v>8.98</v>
      </c>
      <c r="F394" s="711">
        <v>104</v>
      </c>
      <c r="G394" s="711">
        <v>38</v>
      </c>
      <c r="H394" s="711">
        <v>210</v>
      </c>
      <c r="I394" s="711"/>
      <c r="J394" s="717">
        <v>3913</v>
      </c>
      <c r="K394" s="711">
        <v>104.85</v>
      </c>
      <c r="L394" s="711">
        <v>12.03</v>
      </c>
      <c r="M394" s="711">
        <v>103</v>
      </c>
      <c r="N394" s="711">
        <v>68</v>
      </c>
      <c r="O394" s="712">
        <v>170</v>
      </c>
    </row>
    <row r="395" spans="1:15" s="86" customFormat="1" ht="15" x14ac:dyDescent="0.25">
      <c r="A395" s="1288"/>
      <c r="B395" s="89" t="s">
        <v>844</v>
      </c>
      <c r="C395" s="90">
        <v>5582</v>
      </c>
      <c r="D395" s="98">
        <v>1</v>
      </c>
      <c r="E395" s="98">
        <v>7.0000000000000007E-2</v>
      </c>
      <c r="F395" s="98">
        <v>0.98</v>
      </c>
      <c r="G395" s="98">
        <v>0.5</v>
      </c>
      <c r="H395" s="98">
        <v>2.39</v>
      </c>
      <c r="I395" s="98"/>
      <c r="J395" s="718">
        <v>3913</v>
      </c>
      <c r="K395" s="98">
        <v>0.87</v>
      </c>
      <c r="L395" s="98">
        <v>0.08</v>
      </c>
      <c r="M395" s="98">
        <v>0.86</v>
      </c>
      <c r="N395" s="98">
        <v>0.62</v>
      </c>
      <c r="O395" s="99">
        <v>1.21</v>
      </c>
    </row>
    <row r="396" spans="1:15" s="86" customFormat="1" ht="15" x14ac:dyDescent="0.25">
      <c r="A396" s="1286" t="s">
        <v>534</v>
      </c>
      <c r="B396" s="855" t="s">
        <v>837</v>
      </c>
      <c r="C396" s="856">
        <v>2879</v>
      </c>
      <c r="D396" s="857">
        <v>56.27</v>
      </c>
      <c r="E396" s="857">
        <v>8.16</v>
      </c>
      <c r="F396" s="857">
        <v>56.64</v>
      </c>
      <c r="G396" s="857">
        <v>24.93</v>
      </c>
      <c r="H396" s="857">
        <v>75.16</v>
      </c>
      <c r="I396" s="857"/>
      <c r="J396" s="858">
        <v>845</v>
      </c>
      <c r="K396" s="857">
        <v>57.67</v>
      </c>
      <c r="L396" s="857">
        <v>9.77</v>
      </c>
      <c r="M396" s="857">
        <v>59.26</v>
      </c>
      <c r="N396" s="857">
        <v>24.78</v>
      </c>
      <c r="O396" s="710">
        <v>75.27</v>
      </c>
    </row>
    <row r="397" spans="1:15" s="86" customFormat="1" ht="15" x14ac:dyDescent="0.25">
      <c r="A397" s="1287"/>
      <c r="B397" s="87" t="s">
        <v>838</v>
      </c>
      <c r="C397" s="88">
        <v>2879</v>
      </c>
      <c r="D397" s="711">
        <v>27.27</v>
      </c>
      <c r="E397" s="711">
        <v>3.89</v>
      </c>
      <c r="F397" s="711">
        <v>26.88</v>
      </c>
      <c r="G397" s="711">
        <v>16.54</v>
      </c>
      <c r="H397" s="711">
        <v>47.96</v>
      </c>
      <c r="I397" s="711"/>
      <c r="J397" s="717">
        <v>845</v>
      </c>
      <c r="K397" s="711">
        <v>27.96</v>
      </c>
      <c r="L397" s="711">
        <v>5.28</v>
      </c>
      <c r="M397" s="711">
        <v>27.26</v>
      </c>
      <c r="N397" s="711">
        <v>16.34</v>
      </c>
      <c r="O397" s="712">
        <v>52.2</v>
      </c>
    </row>
    <row r="398" spans="1:15" s="86" customFormat="1" ht="15" x14ac:dyDescent="0.25">
      <c r="A398" s="1287"/>
      <c r="B398" s="87" t="s">
        <v>839</v>
      </c>
      <c r="C398" s="88">
        <v>2879</v>
      </c>
      <c r="D398" s="711">
        <v>81.17</v>
      </c>
      <c r="E398" s="711">
        <v>12.8</v>
      </c>
      <c r="F398" s="711">
        <v>80</v>
      </c>
      <c r="G398" s="711">
        <v>46.6</v>
      </c>
      <c r="H398" s="711">
        <v>154</v>
      </c>
      <c r="I398" s="711"/>
      <c r="J398" s="717">
        <v>845</v>
      </c>
      <c r="K398" s="711">
        <v>70.92</v>
      </c>
      <c r="L398" s="711">
        <v>14.08</v>
      </c>
      <c r="M398" s="711">
        <v>69.400000000000006</v>
      </c>
      <c r="N398" s="711">
        <v>37.1</v>
      </c>
      <c r="O398" s="712">
        <v>137</v>
      </c>
    </row>
    <row r="399" spans="1:15" s="86" customFormat="1" ht="15" x14ac:dyDescent="0.25">
      <c r="A399" s="1287"/>
      <c r="B399" s="87" t="s">
        <v>840</v>
      </c>
      <c r="C399" s="88">
        <v>2879</v>
      </c>
      <c r="D399" s="711">
        <v>172.45</v>
      </c>
      <c r="E399" s="711">
        <v>6.67</v>
      </c>
      <c r="F399" s="711">
        <v>172</v>
      </c>
      <c r="G399" s="711">
        <v>149</v>
      </c>
      <c r="H399" s="711">
        <v>195</v>
      </c>
      <c r="I399" s="711"/>
      <c r="J399" s="717">
        <v>845</v>
      </c>
      <c r="K399" s="711">
        <v>159.27000000000001</v>
      </c>
      <c r="L399" s="711">
        <v>6.47</v>
      </c>
      <c r="M399" s="711">
        <v>159</v>
      </c>
      <c r="N399" s="711">
        <v>139</v>
      </c>
      <c r="O399" s="712">
        <v>178</v>
      </c>
    </row>
    <row r="400" spans="1:15" s="86" customFormat="1" ht="15" x14ac:dyDescent="0.25">
      <c r="A400" s="1288"/>
      <c r="B400" s="89" t="s">
        <v>844</v>
      </c>
      <c r="C400" s="90">
        <v>2879</v>
      </c>
      <c r="D400" s="98">
        <v>0.95</v>
      </c>
      <c r="E400" s="98">
        <v>0.06</v>
      </c>
      <c r="F400" s="98">
        <v>0.95</v>
      </c>
      <c r="G400" s="98">
        <v>0.73</v>
      </c>
      <c r="H400" s="98">
        <v>1.22</v>
      </c>
      <c r="I400" s="98"/>
      <c r="J400" s="718">
        <v>845</v>
      </c>
      <c r="K400" s="98">
        <v>0.83</v>
      </c>
      <c r="L400" s="98">
        <v>7.0000000000000007E-2</v>
      </c>
      <c r="M400" s="98">
        <v>0.82</v>
      </c>
      <c r="N400" s="98">
        <v>0.61</v>
      </c>
      <c r="O400" s="99">
        <v>1.18</v>
      </c>
    </row>
    <row r="401" spans="1:15" s="86" customFormat="1" ht="15" x14ac:dyDescent="0.25">
      <c r="A401" s="1286" t="s">
        <v>538</v>
      </c>
      <c r="B401" s="855" t="s">
        <v>837</v>
      </c>
      <c r="C401" s="856">
        <v>2941</v>
      </c>
      <c r="D401" s="857">
        <v>56.15</v>
      </c>
      <c r="E401" s="857">
        <v>6</v>
      </c>
      <c r="F401" s="857">
        <v>57</v>
      </c>
      <c r="G401" s="857">
        <v>44</v>
      </c>
      <c r="H401" s="857">
        <v>66</v>
      </c>
      <c r="I401" s="857"/>
      <c r="J401" s="858">
        <v>3186</v>
      </c>
      <c r="K401" s="857">
        <v>55.8</v>
      </c>
      <c r="L401" s="857">
        <v>5.9</v>
      </c>
      <c r="M401" s="857">
        <v>56</v>
      </c>
      <c r="N401" s="857">
        <v>44</v>
      </c>
      <c r="O401" s="710">
        <v>66</v>
      </c>
    </row>
    <row r="402" spans="1:15" s="86" customFormat="1" ht="15" x14ac:dyDescent="0.25">
      <c r="A402" s="1287"/>
      <c r="B402" s="87" t="s">
        <v>838</v>
      </c>
      <c r="C402" s="88">
        <v>2941</v>
      </c>
      <c r="D402" s="711">
        <v>29.78</v>
      </c>
      <c r="E402" s="711">
        <v>3.9</v>
      </c>
      <c r="F402" s="711">
        <v>29.28</v>
      </c>
      <c r="G402" s="711">
        <v>19.34</v>
      </c>
      <c r="H402" s="711">
        <v>54.41</v>
      </c>
      <c r="I402" s="711"/>
      <c r="J402" s="717">
        <v>3186</v>
      </c>
      <c r="K402" s="711">
        <v>30.28</v>
      </c>
      <c r="L402" s="711">
        <v>5.5</v>
      </c>
      <c r="M402" s="711">
        <v>29.82</v>
      </c>
      <c r="N402" s="711">
        <v>17.239999999999998</v>
      </c>
      <c r="O402" s="712">
        <v>61.18</v>
      </c>
    </row>
    <row r="403" spans="1:15" s="86" customFormat="1" ht="15" x14ac:dyDescent="0.25">
      <c r="A403" s="1287"/>
      <c r="B403" s="87" t="s">
        <v>839</v>
      </c>
      <c r="C403" s="88">
        <v>2941</v>
      </c>
      <c r="D403" s="711">
        <v>97.6</v>
      </c>
      <c r="E403" s="711">
        <v>14.4</v>
      </c>
      <c r="F403" s="711">
        <v>96</v>
      </c>
      <c r="G403" s="711">
        <v>58.2</v>
      </c>
      <c r="H403" s="711">
        <v>198.6</v>
      </c>
      <c r="I403" s="711"/>
      <c r="J403" s="717">
        <v>3186</v>
      </c>
      <c r="K403" s="711">
        <v>84.29</v>
      </c>
      <c r="L403" s="711">
        <v>16</v>
      </c>
      <c r="M403" s="711">
        <v>82.8</v>
      </c>
      <c r="N403" s="711">
        <v>45.8</v>
      </c>
      <c r="O403" s="712">
        <v>168.6</v>
      </c>
    </row>
    <row r="404" spans="1:15" s="86" customFormat="1" ht="15" x14ac:dyDescent="0.25">
      <c r="A404" s="1287"/>
      <c r="B404" s="87" t="s">
        <v>840</v>
      </c>
      <c r="C404" s="88">
        <v>2941</v>
      </c>
      <c r="D404" s="711">
        <v>181</v>
      </c>
      <c r="E404" s="711">
        <v>6.8</v>
      </c>
      <c r="F404" s="711">
        <v>181</v>
      </c>
      <c r="G404" s="711">
        <v>158</v>
      </c>
      <c r="H404" s="711">
        <v>208</v>
      </c>
      <c r="I404" s="711"/>
      <c r="J404" s="717">
        <v>3186</v>
      </c>
      <c r="K404" s="711">
        <v>166.8</v>
      </c>
      <c r="L404" s="711">
        <v>6.2</v>
      </c>
      <c r="M404" s="711">
        <v>167</v>
      </c>
      <c r="N404" s="711">
        <v>147</v>
      </c>
      <c r="O404" s="712">
        <v>192</v>
      </c>
    </row>
    <row r="405" spans="1:15" s="86" customFormat="1" ht="15" x14ac:dyDescent="0.25">
      <c r="A405" s="1287"/>
      <c r="B405" s="87" t="s">
        <v>841</v>
      </c>
      <c r="C405" s="88">
        <v>2938</v>
      </c>
      <c r="D405" s="711">
        <v>106.4</v>
      </c>
      <c r="E405" s="711">
        <v>11.1</v>
      </c>
      <c r="F405" s="711">
        <v>106</v>
      </c>
      <c r="G405" s="711">
        <v>74</v>
      </c>
      <c r="H405" s="711">
        <v>165</v>
      </c>
      <c r="I405" s="711"/>
      <c r="J405" s="717">
        <v>3183</v>
      </c>
      <c r="K405" s="711">
        <v>98.05</v>
      </c>
      <c r="L405" s="711">
        <v>13.7</v>
      </c>
      <c r="M405" s="711">
        <v>98</v>
      </c>
      <c r="N405" s="711">
        <v>57</v>
      </c>
      <c r="O405" s="712">
        <v>162</v>
      </c>
    </row>
    <row r="406" spans="1:15" s="86" customFormat="1" ht="15" x14ac:dyDescent="0.25">
      <c r="A406" s="1287"/>
      <c r="B406" s="87" t="s">
        <v>843</v>
      </c>
      <c r="C406" s="88">
        <v>2938</v>
      </c>
      <c r="D406" s="711">
        <v>108.6</v>
      </c>
      <c r="E406" s="711">
        <v>7.3</v>
      </c>
      <c r="F406" s="711">
        <v>108</v>
      </c>
      <c r="G406" s="711">
        <v>87</v>
      </c>
      <c r="H406" s="711">
        <v>155</v>
      </c>
      <c r="I406" s="711"/>
      <c r="J406" s="717">
        <v>3183</v>
      </c>
      <c r="K406" s="711">
        <v>111.9</v>
      </c>
      <c r="L406" s="711">
        <v>11.65</v>
      </c>
      <c r="M406" s="711">
        <v>111</v>
      </c>
      <c r="N406" s="711">
        <v>74</v>
      </c>
      <c r="O406" s="712">
        <v>177</v>
      </c>
    </row>
    <row r="407" spans="1:15" s="86" customFormat="1" ht="15" x14ac:dyDescent="0.25">
      <c r="A407" s="1288"/>
      <c r="B407" s="89" t="s">
        <v>844</v>
      </c>
      <c r="C407" s="90">
        <v>2938</v>
      </c>
      <c r="D407" s="98">
        <v>0.98</v>
      </c>
      <c r="E407" s="98">
        <v>0.06</v>
      </c>
      <c r="F407" s="98">
        <v>0.98</v>
      </c>
      <c r="G407" s="98">
        <v>0.75</v>
      </c>
      <c r="H407" s="98">
        <v>1.25</v>
      </c>
      <c r="I407" s="98"/>
      <c r="J407" s="718">
        <v>3183</v>
      </c>
      <c r="K407" s="98">
        <v>0.87</v>
      </c>
      <c r="L407" s="98">
        <v>7.0000000000000007E-2</v>
      </c>
      <c r="M407" s="98">
        <v>0.875</v>
      </c>
      <c r="N407" s="98">
        <v>0.58699999999999997</v>
      </c>
      <c r="O407" s="99">
        <v>1.1499999999999999</v>
      </c>
    </row>
    <row r="408" spans="1:15" s="86" customFormat="1" ht="15" x14ac:dyDescent="0.25">
      <c r="A408" s="1286" t="s">
        <v>542</v>
      </c>
      <c r="B408" s="855" t="s">
        <v>837</v>
      </c>
      <c r="C408" s="856">
        <v>1388</v>
      </c>
      <c r="D408" s="857">
        <v>58.762968000000001</v>
      </c>
      <c r="E408" s="857">
        <v>5.920223</v>
      </c>
      <c r="F408" s="857">
        <v>58</v>
      </c>
      <c r="G408" s="857">
        <v>50</v>
      </c>
      <c r="H408" s="857">
        <v>70</v>
      </c>
      <c r="I408" s="857"/>
      <c r="J408" s="858">
        <v>1750</v>
      </c>
      <c r="K408" s="857">
        <v>58.466856999999997</v>
      </c>
      <c r="L408" s="857">
        <v>6.0731950000000001</v>
      </c>
      <c r="M408" s="857">
        <v>58</v>
      </c>
      <c r="N408" s="857">
        <v>50</v>
      </c>
      <c r="O408" s="710">
        <v>70</v>
      </c>
    </row>
    <row r="409" spans="1:15" s="86" customFormat="1" ht="15" x14ac:dyDescent="0.25">
      <c r="A409" s="1287"/>
      <c r="B409" s="87" t="s">
        <v>838</v>
      </c>
      <c r="C409" s="88">
        <v>1388</v>
      </c>
      <c r="D409" s="711">
        <v>24.108768999999999</v>
      </c>
      <c r="E409" s="711">
        <v>3.3531580000000001</v>
      </c>
      <c r="F409" s="711">
        <v>24.000294</v>
      </c>
      <c r="G409" s="711">
        <v>14.073415000000001</v>
      </c>
      <c r="H409" s="711">
        <v>35.711615999999999</v>
      </c>
      <c r="I409" s="711"/>
      <c r="J409" s="717">
        <v>1750</v>
      </c>
      <c r="K409" s="711">
        <v>24.732305</v>
      </c>
      <c r="L409" s="711">
        <v>3.7817059999999998</v>
      </c>
      <c r="M409" s="711">
        <v>24.496908000000001</v>
      </c>
      <c r="N409" s="711">
        <v>15.005644999999999</v>
      </c>
      <c r="O409" s="712">
        <v>40.909018000000003</v>
      </c>
    </row>
    <row r="410" spans="1:15" s="86" customFormat="1" ht="15" x14ac:dyDescent="0.25">
      <c r="A410" s="1287"/>
      <c r="B410" s="87" t="s">
        <v>839</v>
      </c>
      <c r="C410" s="88">
        <v>1388</v>
      </c>
      <c r="D410" s="711">
        <v>66.867869999999996</v>
      </c>
      <c r="E410" s="711">
        <v>11.03707</v>
      </c>
      <c r="F410" s="711">
        <v>66.2</v>
      </c>
      <c r="G410" s="711">
        <v>39.6</v>
      </c>
      <c r="H410" s="711">
        <v>109</v>
      </c>
      <c r="I410" s="711"/>
      <c r="J410" s="717">
        <v>1750</v>
      </c>
      <c r="K410" s="711">
        <v>59.605939999999997</v>
      </c>
      <c r="L410" s="711">
        <v>10.189690000000001</v>
      </c>
      <c r="M410" s="711">
        <v>59.05</v>
      </c>
      <c r="N410" s="711">
        <v>30.9</v>
      </c>
      <c r="O410" s="712">
        <v>95.8</v>
      </c>
    </row>
    <row r="411" spans="1:15" s="86" customFormat="1" ht="15" x14ac:dyDescent="0.25">
      <c r="A411" s="1287"/>
      <c r="B411" s="87" t="s">
        <v>840</v>
      </c>
      <c r="C411" s="88">
        <v>1388</v>
      </c>
      <c r="D411" s="711">
        <v>166.33206100000001</v>
      </c>
      <c r="E411" s="711">
        <v>6.1075350000000004</v>
      </c>
      <c r="F411" s="711">
        <v>166.35</v>
      </c>
      <c r="G411" s="711">
        <v>139.69999999999999</v>
      </c>
      <c r="H411" s="711">
        <v>184.1</v>
      </c>
      <c r="I411" s="711"/>
      <c r="J411" s="717">
        <v>1750</v>
      </c>
      <c r="K411" s="711">
        <v>155.11445699999999</v>
      </c>
      <c r="L411" s="711">
        <v>5.824376</v>
      </c>
      <c r="M411" s="711">
        <v>155</v>
      </c>
      <c r="N411" s="711">
        <v>133.9</v>
      </c>
      <c r="O411" s="712">
        <v>173.3</v>
      </c>
    </row>
    <row r="412" spans="1:15" s="86" customFormat="1" ht="15" x14ac:dyDescent="0.25">
      <c r="A412" s="1287"/>
      <c r="B412" s="87" t="s">
        <v>841</v>
      </c>
      <c r="C412" s="88">
        <v>1388</v>
      </c>
      <c r="D412" s="711">
        <v>85.550650000000005</v>
      </c>
      <c r="E412" s="711">
        <v>10.51526</v>
      </c>
      <c r="F412" s="711">
        <v>85.6</v>
      </c>
      <c r="G412" s="711">
        <v>55.2</v>
      </c>
      <c r="H412" s="711">
        <v>119</v>
      </c>
      <c r="I412" s="711"/>
      <c r="J412" s="717">
        <v>1750</v>
      </c>
      <c r="K412" s="711">
        <v>82.228629999999995</v>
      </c>
      <c r="L412" s="711">
        <v>10.400729999999999</v>
      </c>
      <c r="M412" s="711">
        <v>81.7</v>
      </c>
      <c r="N412" s="711">
        <v>54.3</v>
      </c>
      <c r="O412" s="712">
        <v>122.2</v>
      </c>
    </row>
    <row r="413" spans="1:15" s="86" customFormat="1" ht="15" x14ac:dyDescent="0.25">
      <c r="A413" s="1287"/>
      <c r="B413" s="87" t="s">
        <v>843</v>
      </c>
      <c r="C413" s="88">
        <v>1388</v>
      </c>
      <c r="D413" s="711">
        <v>92.857276999999996</v>
      </c>
      <c r="E413" s="711">
        <v>6.4319689999999996</v>
      </c>
      <c r="F413" s="711">
        <v>92.55</v>
      </c>
      <c r="G413" s="711">
        <v>76.099999999999994</v>
      </c>
      <c r="H413" s="711">
        <v>119</v>
      </c>
      <c r="I413" s="711"/>
      <c r="J413" s="717">
        <v>1750</v>
      </c>
      <c r="K413" s="711">
        <v>94.147313999999994</v>
      </c>
      <c r="L413" s="711">
        <v>7.1559739999999996</v>
      </c>
      <c r="M413" s="711">
        <v>93.6</v>
      </c>
      <c r="N413" s="711">
        <v>62.1</v>
      </c>
      <c r="O413" s="712">
        <v>130</v>
      </c>
    </row>
    <row r="414" spans="1:15" s="86" customFormat="1" ht="15" x14ac:dyDescent="0.25">
      <c r="A414" s="1288"/>
      <c r="B414" s="89" t="s">
        <v>844</v>
      </c>
      <c r="C414" s="90">
        <v>1388</v>
      </c>
      <c r="D414" s="98">
        <v>0.91898179999999996</v>
      </c>
      <c r="E414" s="98">
        <v>6.7847019999999994E-2</v>
      </c>
      <c r="F414" s="98">
        <v>0.92200700000000002</v>
      </c>
      <c r="G414" s="98">
        <v>0.67257560000000005</v>
      </c>
      <c r="H414" s="98">
        <v>1.1564190000000001</v>
      </c>
      <c r="I414" s="98"/>
      <c r="J414" s="718">
        <v>1750</v>
      </c>
      <c r="K414" s="98">
        <v>0.8719732</v>
      </c>
      <c r="L414" s="98">
        <v>7.3231379999999999E-2</v>
      </c>
      <c r="M414" s="98">
        <v>0.86915489999999995</v>
      </c>
      <c r="N414" s="98">
        <v>0.64170039999999995</v>
      </c>
      <c r="O414" s="99">
        <v>1.172625</v>
      </c>
    </row>
    <row r="415" spans="1:15" s="86" customFormat="1" ht="15" x14ac:dyDescent="0.25">
      <c r="A415" s="1286" t="s">
        <v>547</v>
      </c>
      <c r="B415" s="855" t="s">
        <v>837</v>
      </c>
      <c r="C415" s="856">
        <v>282</v>
      </c>
      <c r="D415" s="857">
        <v>60.22</v>
      </c>
      <c r="E415" s="857">
        <v>4.05</v>
      </c>
      <c r="F415" s="857">
        <v>61</v>
      </c>
      <c r="G415" s="857">
        <v>47</v>
      </c>
      <c r="H415" s="857">
        <v>66</v>
      </c>
      <c r="I415" s="857"/>
      <c r="J415" s="858">
        <v>290</v>
      </c>
      <c r="K415" s="857">
        <v>55.43</v>
      </c>
      <c r="L415" s="857">
        <v>5.14</v>
      </c>
      <c r="M415" s="857">
        <v>55.5</v>
      </c>
      <c r="N415" s="857">
        <v>46</v>
      </c>
      <c r="O415" s="710">
        <v>66</v>
      </c>
    </row>
    <row r="416" spans="1:15" s="86" customFormat="1" ht="15" x14ac:dyDescent="0.25">
      <c r="A416" s="1287"/>
      <c r="B416" s="87" t="s">
        <v>838</v>
      </c>
      <c r="C416" s="88">
        <v>282</v>
      </c>
      <c r="D416" s="711">
        <v>26.28</v>
      </c>
      <c r="E416" s="711">
        <v>3.29</v>
      </c>
      <c r="F416" s="711">
        <v>25.39</v>
      </c>
      <c r="G416" s="711">
        <v>16.899999999999999</v>
      </c>
      <c r="H416" s="711">
        <v>37.380000000000003</v>
      </c>
      <c r="I416" s="711"/>
      <c r="J416" s="717">
        <v>290</v>
      </c>
      <c r="K416" s="711">
        <v>25.46</v>
      </c>
      <c r="L416" s="711">
        <v>3.97</v>
      </c>
      <c r="M416" s="711">
        <v>24.91</v>
      </c>
      <c r="N416" s="711">
        <v>18.61</v>
      </c>
      <c r="O416" s="712">
        <v>50.12</v>
      </c>
    </row>
    <row r="417" spans="1:15" s="86" customFormat="1" ht="15" x14ac:dyDescent="0.25">
      <c r="A417" s="1288"/>
      <c r="B417" s="89" t="s">
        <v>844</v>
      </c>
      <c r="C417" s="90">
        <v>282</v>
      </c>
      <c r="D417" s="98">
        <v>0.96</v>
      </c>
      <c r="E417" s="98">
        <v>7.0000000000000007E-2</v>
      </c>
      <c r="F417" s="98">
        <v>0.96</v>
      </c>
      <c r="G417" s="98">
        <v>0.76</v>
      </c>
      <c r="H417" s="98">
        <v>1.17</v>
      </c>
      <c r="I417" s="98"/>
      <c r="J417" s="718">
        <v>290</v>
      </c>
      <c r="K417" s="98">
        <v>0.85</v>
      </c>
      <c r="L417" s="98">
        <v>7.0000000000000007E-2</v>
      </c>
      <c r="M417" s="98">
        <v>0.84</v>
      </c>
      <c r="N417" s="98">
        <v>0.63</v>
      </c>
      <c r="O417" s="99">
        <v>1.34</v>
      </c>
    </row>
    <row r="418" spans="1:15" s="86" customFormat="1" ht="15" x14ac:dyDescent="0.25">
      <c r="A418" s="1286" t="s">
        <v>552</v>
      </c>
      <c r="B418" s="855" t="s">
        <v>837</v>
      </c>
      <c r="C418" s="856">
        <v>9793</v>
      </c>
      <c r="D418" s="857">
        <v>59.588830000000002</v>
      </c>
      <c r="E418" s="857">
        <v>9.2399710000000006</v>
      </c>
      <c r="F418" s="857">
        <v>59.613959999999999</v>
      </c>
      <c r="G418" s="857">
        <v>39.493499999999997</v>
      </c>
      <c r="H418" s="857">
        <v>79.080079999999995</v>
      </c>
      <c r="I418" s="857"/>
      <c r="J418" s="858">
        <v>11251</v>
      </c>
      <c r="K418" s="857">
        <v>58.768230000000003</v>
      </c>
      <c r="L418" s="857">
        <v>9.2924209999999992</v>
      </c>
      <c r="M418" s="857">
        <v>58.253250000000001</v>
      </c>
      <c r="N418" s="857">
        <v>39.835729999999998</v>
      </c>
      <c r="O418" s="710">
        <v>78.162899999999993</v>
      </c>
    </row>
    <row r="419" spans="1:15" s="86" customFormat="1" ht="15" x14ac:dyDescent="0.25">
      <c r="A419" s="1287"/>
      <c r="B419" s="87" t="s">
        <v>838</v>
      </c>
      <c r="C419" s="88">
        <v>9781</v>
      </c>
      <c r="D419" s="711">
        <v>26.486509999999999</v>
      </c>
      <c r="E419" s="711">
        <v>3.2443499999999998</v>
      </c>
      <c r="F419" s="711">
        <v>26.205439999999999</v>
      </c>
      <c r="G419" s="711">
        <v>16.13194</v>
      </c>
      <c r="H419" s="711">
        <v>49.055140000000002</v>
      </c>
      <c r="I419" s="711"/>
      <c r="J419" s="717">
        <v>11233</v>
      </c>
      <c r="K419" s="711">
        <v>26.133279999999999</v>
      </c>
      <c r="L419" s="711">
        <v>4.2471540000000001</v>
      </c>
      <c r="M419" s="711">
        <v>25.454339999999998</v>
      </c>
      <c r="N419" s="711">
        <v>15.22939</v>
      </c>
      <c r="O419" s="712">
        <v>58.693899999999999</v>
      </c>
    </row>
    <row r="420" spans="1:15" s="86" customFormat="1" ht="15" x14ac:dyDescent="0.25">
      <c r="A420" s="1287"/>
      <c r="B420" s="87" t="s">
        <v>839</v>
      </c>
      <c r="C420" s="88">
        <v>9784</v>
      </c>
      <c r="D420" s="711">
        <v>174.01060000000001</v>
      </c>
      <c r="E420" s="711">
        <v>6.6148879999999997</v>
      </c>
      <c r="F420" s="711">
        <v>174</v>
      </c>
      <c r="G420" s="711">
        <v>139.4</v>
      </c>
      <c r="H420" s="711">
        <v>200.2</v>
      </c>
      <c r="I420" s="711"/>
      <c r="J420" s="717">
        <v>11239</v>
      </c>
      <c r="K420" s="711">
        <v>161.07339999999999</v>
      </c>
      <c r="L420" s="711">
        <v>6.173197</v>
      </c>
      <c r="M420" s="711">
        <v>161</v>
      </c>
      <c r="N420" s="711">
        <v>125.4</v>
      </c>
      <c r="O420" s="712">
        <v>185.3</v>
      </c>
    </row>
    <row r="421" spans="1:15" s="86" customFormat="1" ht="15" x14ac:dyDescent="0.25">
      <c r="A421" s="1287"/>
      <c r="B421" s="87" t="s">
        <v>840</v>
      </c>
      <c r="C421" s="88">
        <v>9788</v>
      </c>
      <c r="D421" s="711">
        <v>80.274569999999997</v>
      </c>
      <c r="E421" s="711">
        <v>11.283440000000001</v>
      </c>
      <c r="F421" s="711">
        <v>79.400000000000006</v>
      </c>
      <c r="G421" s="711">
        <v>42.8</v>
      </c>
      <c r="H421" s="711">
        <v>160</v>
      </c>
      <c r="I421" s="711"/>
      <c r="J421" s="717">
        <v>11241</v>
      </c>
      <c r="K421" s="711">
        <v>67.796779999999998</v>
      </c>
      <c r="L421" s="711">
        <v>11.589079999999999</v>
      </c>
      <c r="M421" s="711">
        <v>66.2</v>
      </c>
      <c r="N421" s="711">
        <v>36</v>
      </c>
      <c r="O421" s="712">
        <v>139.19999999999999</v>
      </c>
    </row>
    <row r="422" spans="1:15" s="86" customFormat="1" ht="15" x14ac:dyDescent="0.25">
      <c r="A422" s="1287"/>
      <c r="B422" s="87" t="s">
        <v>841</v>
      </c>
      <c r="C422" s="88">
        <v>9780</v>
      </c>
      <c r="D422" s="711">
        <v>95.684619999999995</v>
      </c>
      <c r="E422" s="711">
        <v>9.6041570000000007</v>
      </c>
      <c r="F422" s="711">
        <v>95</v>
      </c>
      <c r="G422" s="711">
        <v>65.900000000000006</v>
      </c>
      <c r="H422" s="711">
        <v>145.6</v>
      </c>
      <c r="I422" s="711"/>
      <c r="J422" s="717">
        <v>11248</v>
      </c>
      <c r="K422" s="711">
        <v>81.917310000000001</v>
      </c>
      <c r="L422" s="711">
        <v>10.703150000000001</v>
      </c>
      <c r="M422" s="711">
        <v>80.3</v>
      </c>
      <c r="N422" s="711">
        <v>56</v>
      </c>
      <c r="O422" s="712">
        <v>141.30000000000001</v>
      </c>
    </row>
    <row r="423" spans="1:15" s="86" customFormat="1" ht="15" x14ac:dyDescent="0.25">
      <c r="A423" s="1287"/>
      <c r="B423" s="87" t="s">
        <v>843</v>
      </c>
      <c r="C423" s="88">
        <v>9776</v>
      </c>
      <c r="D423" s="711">
        <v>102.7278</v>
      </c>
      <c r="E423" s="711">
        <v>6.3216780000000004</v>
      </c>
      <c r="F423" s="711">
        <v>102.2</v>
      </c>
      <c r="G423" s="711">
        <v>80</v>
      </c>
      <c r="H423" s="711">
        <v>165</v>
      </c>
      <c r="I423" s="711"/>
      <c r="J423" s="717">
        <v>11236</v>
      </c>
      <c r="K423" s="711">
        <v>103.32210000000001</v>
      </c>
      <c r="L423" s="711">
        <v>9.0232489999999999</v>
      </c>
      <c r="M423" s="711">
        <v>102</v>
      </c>
      <c r="N423" s="711">
        <v>72.5</v>
      </c>
      <c r="O423" s="712">
        <v>164.2</v>
      </c>
    </row>
    <row r="424" spans="1:15" s="86" customFormat="1" ht="15" x14ac:dyDescent="0.25">
      <c r="A424" s="1288"/>
      <c r="B424" s="89" t="s">
        <v>844</v>
      </c>
      <c r="C424" s="90">
        <v>9774</v>
      </c>
      <c r="D424" s="98">
        <v>0.93038200000000004</v>
      </c>
      <c r="E424" s="98">
        <v>5.86606E-2</v>
      </c>
      <c r="F424" s="98">
        <v>0.93010250000000005</v>
      </c>
      <c r="G424" s="98">
        <v>0.57575759999999998</v>
      </c>
      <c r="H424" s="98">
        <v>1.216931</v>
      </c>
      <c r="I424" s="98"/>
      <c r="J424" s="718">
        <v>11236</v>
      </c>
      <c r="K424" s="98">
        <v>0.79164849999999998</v>
      </c>
      <c r="L424" s="98">
        <v>6.21419E-2</v>
      </c>
      <c r="M424" s="98">
        <v>0.78678539999999997</v>
      </c>
      <c r="N424" s="98">
        <v>0.6</v>
      </c>
      <c r="O424" s="99">
        <v>1.199065</v>
      </c>
    </row>
    <row r="425" spans="1:15" s="86" customFormat="1" ht="15" x14ac:dyDescent="0.25">
      <c r="A425" s="1286" t="s">
        <v>557</v>
      </c>
      <c r="B425" s="855" t="s">
        <v>837</v>
      </c>
      <c r="C425" s="856">
        <v>3685</v>
      </c>
      <c r="D425" s="857">
        <v>48.881189999999997</v>
      </c>
      <c r="E425" s="857">
        <v>7.4288210000000001</v>
      </c>
      <c r="F425" s="857">
        <v>49.1</v>
      </c>
      <c r="G425" s="857">
        <v>30.9</v>
      </c>
      <c r="H425" s="857">
        <v>63.7</v>
      </c>
      <c r="I425" s="857"/>
      <c r="J425" s="858">
        <v>4079</v>
      </c>
      <c r="K425" s="857">
        <v>48.926209999999998</v>
      </c>
      <c r="L425" s="857">
        <v>7.3258330000000003</v>
      </c>
      <c r="M425" s="857">
        <v>49.1</v>
      </c>
      <c r="N425" s="857">
        <v>30.5</v>
      </c>
      <c r="O425" s="710">
        <v>64</v>
      </c>
    </row>
    <row r="426" spans="1:15" s="86" customFormat="1" ht="15" x14ac:dyDescent="0.25">
      <c r="A426" s="1287"/>
      <c r="B426" s="87" t="s">
        <v>838</v>
      </c>
      <c r="C426" s="88">
        <v>3685</v>
      </c>
      <c r="D426" s="711">
        <v>27.368849999999998</v>
      </c>
      <c r="E426" s="711">
        <v>4.1805079999999997</v>
      </c>
      <c r="F426" s="711">
        <v>26.87</v>
      </c>
      <c r="G426" s="711">
        <v>15.3</v>
      </c>
      <c r="H426" s="711">
        <v>50.6</v>
      </c>
      <c r="I426" s="711"/>
      <c r="J426" s="717">
        <v>4079</v>
      </c>
      <c r="K426" s="711">
        <v>26.572299999999998</v>
      </c>
      <c r="L426" s="711">
        <v>5.3262260000000001</v>
      </c>
      <c r="M426" s="711">
        <v>25.474029999999999</v>
      </c>
      <c r="N426" s="711">
        <v>14.5</v>
      </c>
      <c r="O426" s="712">
        <v>58.7</v>
      </c>
    </row>
    <row r="427" spans="1:15" s="86" customFormat="1" ht="15" x14ac:dyDescent="0.25">
      <c r="A427" s="1287"/>
      <c r="B427" s="87" t="s">
        <v>839</v>
      </c>
      <c r="C427" s="88">
        <v>3685</v>
      </c>
      <c r="D427" s="711">
        <v>86.376450000000006</v>
      </c>
      <c r="E427" s="711">
        <v>14.272119999999999</v>
      </c>
      <c r="F427" s="711">
        <v>84.7</v>
      </c>
      <c r="G427" s="711">
        <v>42.9</v>
      </c>
      <c r="H427" s="711">
        <v>177.6</v>
      </c>
      <c r="I427" s="711"/>
      <c r="J427" s="717">
        <v>4079</v>
      </c>
      <c r="K427" s="711">
        <v>71.511250000000004</v>
      </c>
      <c r="L427" s="711">
        <v>14.69233</v>
      </c>
      <c r="M427" s="711">
        <v>68.7</v>
      </c>
      <c r="N427" s="711">
        <v>38.200000000000003</v>
      </c>
      <c r="O427" s="712">
        <v>152.5</v>
      </c>
    </row>
    <row r="428" spans="1:15" s="86" customFormat="1" ht="15" x14ac:dyDescent="0.25">
      <c r="A428" s="1287"/>
      <c r="B428" s="87" t="s">
        <v>840</v>
      </c>
      <c r="C428" s="88">
        <v>3685</v>
      </c>
      <c r="D428" s="711">
        <v>177.60939999999999</v>
      </c>
      <c r="E428" s="711">
        <v>6.8009950000000003</v>
      </c>
      <c r="F428" s="711">
        <v>177.6</v>
      </c>
      <c r="G428" s="711">
        <v>129.5</v>
      </c>
      <c r="H428" s="711">
        <v>199.8</v>
      </c>
      <c r="I428" s="711"/>
      <c r="J428" s="717">
        <v>4079</v>
      </c>
      <c r="K428" s="711">
        <v>164.0866</v>
      </c>
      <c r="L428" s="711">
        <v>6.3935820000000003</v>
      </c>
      <c r="M428" s="711">
        <v>164</v>
      </c>
      <c r="N428" s="711">
        <v>140.4</v>
      </c>
      <c r="O428" s="712">
        <v>188.6</v>
      </c>
    </row>
    <row r="429" spans="1:15" s="86" customFormat="1" ht="15" x14ac:dyDescent="0.25">
      <c r="A429" s="1287"/>
      <c r="B429" s="87" t="s">
        <v>841</v>
      </c>
      <c r="C429" s="88">
        <v>3681</v>
      </c>
      <c r="D429" s="711">
        <v>97.146259999999998</v>
      </c>
      <c r="E429" s="711">
        <v>11.566520000000001</v>
      </c>
      <c r="F429" s="711">
        <v>96.05</v>
      </c>
      <c r="G429" s="711">
        <v>65.599999999999994</v>
      </c>
      <c r="H429" s="711">
        <v>148.94999999999999</v>
      </c>
      <c r="I429" s="711"/>
      <c r="J429" s="717">
        <v>4067</v>
      </c>
      <c r="K429" s="711">
        <v>85.436880000000002</v>
      </c>
      <c r="L429" s="711">
        <v>12.616569999999999</v>
      </c>
      <c r="M429" s="711">
        <v>83.4</v>
      </c>
      <c r="N429" s="711">
        <v>59</v>
      </c>
      <c r="O429" s="712">
        <v>154.15</v>
      </c>
    </row>
    <row r="430" spans="1:15" s="86" customFormat="1" ht="15" x14ac:dyDescent="0.25">
      <c r="A430" s="1287"/>
      <c r="B430" s="87" t="s">
        <v>843</v>
      </c>
      <c r="C430" s="88">
        <v>3681</v>
      </c>
      <c r="D430" s="711">
        <v>103.0826</v>
      </c>
      <c r="E430" s="711">
        <v>7.0636939999999999</v>
      </c>
      <c r="F430" s="711">
        <v>102.4</v>
      </c>
      <c r="G430" s="711">
        <v>76.2</v>
      </c>
      <c r="H430" s="711">
        <v>156.4</v>
      </c>
      <c r="I430" s="711"/>
      <c r="J430" s="717">
        <v>4067</v>
      </c>
      <c r="K430" s="711">
        <v>103.64239999999999</v>
      </c>
      <c r="L430" s="711">
        <v>10.44666</v>
      </c>
      <c r="M430" s="711">
        <v>102.1</v>
      </c>
      <c r="N430" s="711">
        <v>78.45</v>
      </c>
      <c r="O430" s="712">
        <v>168</v>
      </c>
    </row>
    <row r="431" spans="1:15" s="86" customFormat="1" ht="15" x14ac:dyDescent="0.25">
      <c r="A431" s="1288"/>
      <c r="B431" s="89" t="s">
        <v>844</v>
      </c>
      <c r="C431" s="90">
        <v>3681</v>
      </c>
      <c r="D431" s="98">
        <v>0.94059099999999995</v>
      </c>
      <c r="E431" s="98">
        <v>6.9173999999999999E-2</v>
      </c>
      <c r="F431" s="98">
        <v>0.93972900000000004</v>
      </c>
      <c r="G431" s="98">
        <v>0.72499999999999998</v>
      </c>
      <c r="H431" s="98">
        <v>1.2491239999999999</v>
      </c>
      <c r="I431" s="98"/>
      <c r="J431" s="718">
        <v>4067</v>
      </c>
      <c r="K431" s="98">
        <v>0.82255199999999995</v>
      </c>
      <c r="L431" s="98">
        <v>6.8282999999999996E-2</v>
      </c>
      <c r="M431" s="98">
        <v>0.81687699999999996</v>
      </c>
      <c r="N431" s="98">
        <v>0.63046000000000002</v>
      </c>
      <c r="O431" s="99">
        <v>1.17276</v>
      </c>
    </row>
    <row r="432" spans="1:15" s="86" customFormat="1" ht="15" x14ac:dyDescent="0.25">
      <c r="A432" s="1286" t="s">
        <v>561</v>
      </c>
      <c r="B432" s="855" t="s">
        <v>837</v>
      </c>
      <c r="C432" s="856">
        <v>2039</v>
      </c>
      <c r="D432" s="857">
        <v>42.054438450220701</v>
      </c>
      <c r="E432" s="857">
        <v>5.6077612229195699</v>
      </c>
      <c r="F432" s="857">
        <v>43</v>
      </c>
      <c r="G432" s="857">
        <v>29</v>
      </c>
      <c r="H432" s="857">
        <v>54</v>
      </c>
      <c r="I432" s="857"/>
      <c r="J432" s="858">
        <v>2476</v>
      </c>
      <c r="K432" s="857">
        <v>41.558562197092101</v>
      </c>
      <c r="L432" s="857">
        <v>5.9805917913122801</v>
      </c>
      <c r="M432" s="857">
        <v>42</v>
      </c>
      <c r="N432" s="857">
        <v>29</v>
      </c>
      <c r="O432" s="710">
        <v>53</v>
      </c>
    </row>
    <row r="433" spans="1:15" s="86" customFormat="1" ht="15" x14ac:dyDescent="0.25">
      <c r="A433" s="1287"/>
      <c r="B433" s="87" t="s">
        <v>838</v>
      </c>
      <c r="C433" s="88">
        <v>2039</v>
      </c>
      <c r="D433" s="711">
        <v>26.6120234428641</v>
      </c>
      <c r="E433" s="711">
        <v>3.99169129548853</v>
      </c>
      <c r="F433" s="711">
        <v>26.098120000000002</v>
      </c>
      <c r="G433" s="711">
        <v>15.286759999999999</v>
      </c>
      <c r="H433" s="711">
        <v>48.398530000000001</v>
      </c>
      <c r="I433" s="711"/>
      <c r="J433" s="717">
        <v>2476</v>
      </c>
      <c r="K433" s="711">
        <v>25.430523473344099</v>
      </c>
      <c r="L433" s="711">
        <v>4.8077156868080202</v>
      </c>
      <c r="M433" s="711">
        <v>24.386614999999999</v>
      </c>
      <c r="N433" s="711">
        <v>16.545210000000001</v>
      </c>
      <c r="O433" s="712">
        <v>53.00423</v>
      </c>
    </row>
    <row r="434" spans="1:15" s="86" customFormat="1" ht="15" x14ac:dyDescent="0.25">
      <c r="A434" s="1287"/>
      <c r="B434" s="87" t="s">
        <v>839</v>
      </c>
      <c r="C434" s="88">
        <v>2039</v>
      </c>
      <c r="D434" s="711">
        <v>85.0828837665522</v>
      </c>
      <c r="E434" s="711">
        <v>14.072020217952099</v>
      </c>
      <c r="F434" s="711">
        <v>83.5</v>
      </c>
      <c r="G434" s="711">
        <v>44.7</v>
      </c>
      <c r="H434" s="711">
        <v>172.1</v>
      </c>
      <c r="I434" s="711"/>
      <c r="J434" s="717">
        <v>2476</v>
      </c>
      <c r="K434" s="711">
        <v>69.443073505654297</v>
      </c>
      <c r="L434" s="711">
        <v>13.4980097105353</v>
      </c>
      <c r="M434" s="711">
        <v>66.8</v>
      </c>
      <c r="N434" s="711">
        <v>43.5</v>
      </c>
      <c r="O434" s="712">
        <v>139.30000000000001</v>
      </c>
    </row>
    <row r="435" spans="1:15" s="86" customFormat="1" ht="15" x14ac:dyDescent="0.25">
      <c r="A435" s="1287"/>
      <c r="B435" s="87" t="s">
        <v>840</v>
      </c>
      <c r="C435" s="88">
        <v>2039</v>
      </c>
      <c r="D435" s="711">
        <v>178.72339382050001</v>
      </c>
      <c r="E435" s="711">
        <v>6.6915790134474298</v>
      </c>
      <c r="F435" s="711">
        <v>179</v>
      </c>
      <c r="G435" s="711">
        <v>157</v>
      </c>
      <c r="H435" s="711">
        <v>205</v>
      </c>
      <c r="I435" s="711"/>
      <c r="J435" s="717">
        <v>2476</v>
      </c>
      <c r="K435" s="711">
        <v>165.276655896607</v>
      </c>
      <c r="L435" s="711">
        <v>6.1437819665787403</v>
      </c>
      <c r="M435" s="711">
        <v>165</v>
      </c>
      <c r="N435" s="711">
        <v>144</v>
      </c>
      <c r="O435" s="712">
        <v>190</v>
      </c>
    </row>
    <row r="436" spans="1:15" s="86" customFormat="1" ht="15" x14ac:dyDescent="0.25">
      <c r="A436" s="1287"/>
      <c r="B436" s="87" t="s">
        <v>841</v>
      </c>
      <c r="C436" s="88">
        <v>2031</v>
      </c>
      <c r="D436" s="711">
        <v>93.081240768094503</v>
      </c>
      <c r="E436" s="711">
        <v>10.998468215632499</v>
      </c>
      <c r="F436" s="711">
        <v>92</v>
      </c>
      <c r="G436" s="711">
        <v>61</v>
      </c>
      <c r="H436" s="711">
        <v>157</v>
      </c>
      <c r="I436" s="711"/>
      <c r="J436" s="717">
        <v>2476</v>
      </c>
      <c r="K436" s="711">
        <v>82.076332794830407</v>
      </c>
      <c r="L436" s="711">
        <v>11.936812986871599</v>
      </c>
      <c r="M436" s="711">
        <v>80</v>
      </c>
      <c r="N436" s="711">
        <v>59</v>
      </c>
      <c r="O436" s="712">
        <v>150</v>
      </c>
    </row>
    <row r="437" spans="1:15" s="86" customFormat="1" ht="15" x14ac:dyDescent="0.25">
      <c r="A437" s="1287"/>
      <c r="B437" s="87" t="s">
        <v>843</v>
      </c>
      <c r="C437" s="88">
        <v>2031</v>
      </c>
      <c r="D437" s="711">
        <v>101.495322501231</v>
      </c>
      <c r="E437" s="711">
        <v>7.4802763826260996</v>
      </c>
      <c r="F437" s="711">
        <v>101</v>
      </c>
      <c r="G437" s="711">
        <v>69</v>
      </c>
      <c r="H437" s="711">
        <v>142</v>
      </c>
      <c r="I437" s="711"/>
      <c r="J437" s="717">
        <v>2476</v>
      </c>
      <c r="K437" s="711">
        <v>101.131663974152</v>
      </c>
      <c r="L437" s="711">
        <v>9.96201021344074</v>
      </c>
      <c r="M437" s="711">
        <v>100</v>
      </c>
      <c r="N437" s="711">
        <v>64</v>
      </c>
      <c r="O437" s="712">
        <v>177</v>
      </c>
    </row>
    <row r="438" spans="1:15" s="86" customFormat="1" ht="15" x14ac:dyDescent="0.25">
      <c r="A438" s="1288"/>
      <c r="B438" s="89" t="s">
        <v>844</v>
      </c>
      <c r="C438" s="90">
        <v>2031</v>
      </c>
      <c r="D438" s="98">
        <v>0.91558452766666698</v>
      </c>
      <c r="E438" s="98">
        <v>6.4100262620374604E-2</v>
      </c>
      <c r="F438" s="98">
        <v>0.91176470600000004</v>
      </c>
      <c r="G438" s="98">
        <v>0.72631578900000004</v>
      </c>
      <c r="H438" s="98">
        <v>1.2362204699999999</v>
      </c>
      <c r="I438" s="98"/>
      <c r="J438" s="718">
        <v>2476</v>
      </c>
      <c r="K438" s="98">
        <v>0.81039236422536398</v>
      </c>
      <c r="L438" s="98">
        <v>7.2554014727729405E-2</v>
      </c>
      <c r="M438" s="98">
        <v>0.80219780200000002</v>
      </c>
      <c r="N438" s="98">
        <v>0.58757062100000002</v>
      </c>
      <c r="O438" s="99">
        <v>1.328125</v>
      </c>
    </row>
    <row r="439" spans="1:15" s="86" customFormat="1" ht="15" x14ac:dyDescent="0.25">
      <c r="A439" s="1286" t="s">
        <v>564</v>
      </c>
      <c r="B439" s="855" t="s">
        <v>837</v>
      </c>
      <c r="C439" s="856" t="s">
        <v>842</v>
      </c>
      <c r="D439" s="857" t="s">
        <v>842</v>
      </c>
      <c r="E439" s="857" t="s">
        <v>842</v>
      </c>
      <c r="F439" s="857" t="s">
        <v>842</v>
      </c>
      <c r="G439" s="857" t="s">
        <v>842</v>
      </c>
      <c r="H439" s="857" t="s">
        <v>842</v>
      </c>
      <c r="I439" s="857"/>
      <c r="J439" s="858">
        <v>478</v>
      </c>
      <c r="K439" s="857">
        <v>32.704096931736373</v>
      </c>
      <c r="L439" s="857">
        <v>6.7911572820104222</v>
      </c>
      <c r="M439" s="857">
        <v>32.255555555000001</v>
      </c>
      <c r="N439" s="857">
        <v>18.366666670000001</v>
      </c>
      <c r="O439" s="710">
        <v>61.358333330000001</v>
      </c>
    </row>
    <row r="440" spans="1:15" s="86" customFormat="1" ht="15" x14ac:dyDescent="0.25">
      <c r="A440" s="1287"/>
      <c r="B440" s="87" t="s">
        <v>838</v>
      </c>
      <c r="C440" s="88" t="s">
        <v>842</v>
      </c>
      <c r="D440" s="711" t="s">
        <v>842</v>
      </c>
      <c r="E440" s="711" t="s">
        <v>842</v>
      </c>
      <c r="F440" s="711" t="s">
        <v>842</v>
      </c>
      <c r="G440" s="711" t="s">
        <v>842</v>
      </c>
      <c r="H440" s="711" t="s">
        <v>842</v>
      </c>
      <c r="I440" s="711"/>
      <c r="J440" s="717">
        <v>478</v>
      </c>
      <c r="K440" s="711">
        <v>27.938075313807516</v>
      </c>
      <c r="L440" s="711">
        <v>8.0619154141717004</v>
      </c>
      <c r="M440" s="711">
        <v>24.9</v>
      </c>
      <c r="N440" s="711">
        <v>18.366666670000001</v>
      </c>
      <c r="O440" s="712">
        <v>61.358333330000001</v>
      </c>
    </row>
    <row r="441" spans="1:15" s="86" customFormat="1" ht="15" x14ac:dyDescent="0.25">
      <c r="A441" s="1287"/>
      <c r="B441" s="87" t="s">
        <v>839</v>
      </c>
      <c r="C441" s="88" t="s">
        <v>842</v>
      </c>
      <c r="D441" s="711" t="s">
        <v>842</v>
      </c>
      <c r="E441" s="711" t="s">
        <v>842</v>
      </c>
      <c r="F441" s="711" t="s">
        <v>842</v>
      </c>
      <c r="G441" s="711" t="s">
        <v>842</v>
      </c>
      <c r="H441" s="711" t="s">
        <v>842</v>
      </c>
      <c r="I441" s="711"/>
      <c r="J441" s="717">
        <v>478</v>
      </c>
      <c r="K441" s="711">
        <v>76.127238493723851</v>
      </c>
      <c r="L441" s="711">
        <v>22.133581899548247</v>
      </c>
      <c r="M441" s="711">
        <v>68</v>
      </c>
      <c r="N441" s="711">
        <v>18.366666670000001</v>
      </c>
      <c r="O441" s="712">
        <v>61.358333330000001</v>
      </c>
    </row>
    <row r="442" spans="1:15" s="86" customFormat="1" ht="15" x14ac:dyDescent="0.25">
      <c r="A442" s="1287"/>
      <c r="B442" s="87" t="s">
        <v>840</v>
      </c>
      <c r="C442" s="88" t="s">
        <v>842</v>
      </c>
      <c r="D442" s="711" t="s">
        <v>842</v>
      </c>
      <c r="E442" s="711" t="s">
        <v>842</v>
      </c>
      <c r="F442" s="711" t="s">
        <v>842</v>
      </c>
      <c r="G442" s="711" t="s">
        <v>842</v>
      </c>
      <c r="H442" s="711" t="s">
        <v>842</v>
      </c>
      <c r="I442" s="711"/>
      <c r="J442" s="717">
        <v>478</v>
      </c>
      <c r="K442" s="711">
        <v>165.1652719665272</v>
      </c>
      <c r="L442" s="711">
        <v>6.7869562149629887</v>
      </c>
      <c r="M442" s="711">
        <v>165</v>
      </c>
      <c r="N442" s="711">
        <v>18.366666670000001</v>
      </c>
      <c r="O442" s="712">
        <v>61.358333330000001</v>
      </c>
    </row>
    <row r="443" spans="1:15" s="86" customFormat="1" ht="15" x14ac:dyDescent="0.25">
      <c r="A443" s="1288"/>
      <c r="B443" s="89" t="s">
        <v>844</v>
      </c>
      <c r="C443" s="90" t="s">
        <v>842</v>
      </c>
      <c r="D443" s="98" t="s">
        <v>842</v>
      </c>
      <c r="E443" s="98" t="s">
        <v>842</v>
      </c>
      <c r="F443" s="98" t="s">
        <v>842</v>
      </c>
      <c r="G443" s="98" t="s">
        <v>842</v>
      </c>
      <c r="H443" s="98" t="s">
        <v>842</v>
      </c>
      <c r="I443" s="98"/>
      <c r="J443" s="718">
        <v>478</v>
      </c>
      <c r="K443" s="98">
        <v>0.79782426778242732</v>
      </c>
      <c r="L443" s="98">
        <v>7.8683310765807313E-2</v>
      </c>
      <c r="M443" s="98">
        <v>0.79</v>
      </c>
      <c r="N443" s="98">
        <v>18.366666670000001</v>
      </c>
      <c r="O443" s="99">
        <v>61.358333330000001</v>
      </c>
    </row>
    <row r="444" spans="1:15" s="86" customFormat="1" ht="15" x14ac:dyDescent="0.25">
      <c r="A444" s="1286" t="s">
        <v>567</v>
      </c>
      <c r="B444" s="855" t="s">
        <v>837</v>
      </c>
      <c r="C444" s="856">
        <v>487</v>
      </c>
      <c r="D444" s="857">
        <v>70.127675564681667</v>
      </c>
      <c r="E444" s="857">
        <v>0.16693585694077442</v>
      </c>
      <c r="F444" s="857">
        <v>70.123289999999997</v>
      </c>
      <c r="G444" s="857">
        <v>69.84</v>
      </c>
      <c r="H444" s="857">
        <v>72.28</v>
      </c>
      <c r="I444" s="857"/>
      <c r="J444" s="858">
        <v>474</v>
      </c>
      <c r="K444" s="857">
        <v>70.263227679324899</v>
      </c>
      <c r="L444" s="857">
        <v>0.14791995709244549</v>
      </c>
      <c r="M444" s="857">
        <v>70.28219</v>
      </c>
      <c r="N444" s="857">
        <v>69.900000000000006</v>
      </c>
      <c r="O444" s="710">
        <v>70.756159999999994</v>
      </c>
    </row>
    <row r="445" spans="1:15" s="86" customFormat="1" ht="15" x14ac:dyDescent="0.25">
      <c r="A445" s="1287"/>
      <c r="B445" s="87" t="s">
        <v>838</v>
      </c>
      <c r="C445" s="88">
        <v>487</v>
      </c>
      <c r="D445" s="711">
        <v>27.02546201232034</v>
      </c>
      <c r="E445" s="711">
        <v>3.7295793160330626</v>
      </c>
      <c r="F445" s="711">
        <v>26.8</v>
      </c>
      <c r="G445" s="711">
        <v>17.7</v>
      </c>
      <c r="H445" s="711">
        <v>43.4</v>
      </c>
      <c r="I445" s="711"/>
      <c r="J445" s="717">
        <v>474</v>
      </c>
      <c r="K445" s="711">
        <v>27.131223628692009</v>
      </c>
      <c r="L445" s="711">
        <v>4.9373448304987848</v>
      </c>
      <c r="M445" s="711">
        <v>26.5</v>
      </c>
      <c r="N445" s="711">
        <v>16.600000000000001</v>
      </c>
      <c r="O445" s="712">
        <v>49.8</v>
      </c>
    </row>
    <row r="446" spans="1:15" s="86" customFormat="1" ht="15" x14ac:dyDescent="0.25">
      <c r="A446" s="1287"/>
      <c r="B446" s="87" t="s">
        <v>839</v>
      </c>
      <c r="C446" s="88">
        <v>487</v>
      </c>
      <c r="D446" s="711">
        <v>83.640657084188916</v>
      </c>
      <c r="E446" s="711">
        <v>12.977197078406261</v>
      </c>
      <c r="F446" s="711">
        <v>82</v>
      </c>
      <c r="G446" s="711">
        <v>53</v>
      </c>
      <c r="H446" s="711">
        <v>138</v>
      </c>
      <c r="I446" s="711"/>
      <c r="J446" s="717">
        <v>474</v>
      </c>
      <c r="K446" s="711">
        <v>71.392405063291136</v>
      </c>
      <c r="L446" s="711">
        <v>13.173345233744383</v>
      </c>
      <c r="M446" s="711">
        <v>71</v>
      </c>
      <c r="N446" s="711">
        <v>42</v>
      </c>
      <c r="O446" s="712">
        <v>126</v>
      </c>
    </row>
    <row r="447" spans="1:15" s="86" customFormat="1" ht="15" x14ac:dyDescent="0.25">
      <c r="A447" s="1287"/>
      <c r="B447" s="87" t="s">
        <v>840</v>
      </c>
      <c r="C447" s="88">
        <v>487</v>
      </c>
      <c r="D447" s="711">
        <v>175.85420944558521</v>
      </c>
      <c r="E447" s="711">
        <v>6.4573065883381524</v>
      </c>
      <c r="F447" s="711">
        <v>175</v>
      </c>
      <c r="G447" s="711">
        <v>155</v>
      </c>
      <c r="H447" s="711">
        <v>198</v>
      </c>
      <c r="I447" s="711"/>
      <c r="J447" s="717">
        <v>474</v>
      </c>
      <c r="K447" s="711">
        <v>162.25738396624473</v>
      </c>
      <c r="L447" s="711">
        <v>5.622854141995191</v>
      </c>
      <c r="M447" s="711">
        <v>162</v>
      </c>
      <c r="N447" s="711">
        <v>148</v>
      </c>
      <c r="O447" s="712">
        <v>184</v>
      </c>
    </row>
    <row r="448" spans="1:15" s="86" customFormat="1" ht="15" x14ac:dyDescent="0.25">
      <c r="A448" s="1287"/>
      <c r="B448" s="87" t="s">
        <v>841</v>
      </c>
      <c r="C448" s="88">
        <v>482</v>
      </c>
      <c r="D448" s="711">
        <v>94.823651452282164</v>
      </c>
      <c r="E448" s="711">
        <v>10.392705979422697</v>
      </c>
      <c r="F448" s="711">
        <v>94</v>
      </c>
      <c r="G448" s="711">
        <v>64</v>
      </c>
      <c r="H448" s="711">
        <v>134</v>
      </c>
      <c r="I448" s="711"/>
      <c r="J448" s="717">
        <v>468</v>
      </c>
      <c r="K448" s="711">
        <v>87.722222222222229</v>
      </c>
      <c r="L448" s="711">
        <v>11.683540362140517</v>
      </c>
      <c r="M448" s="711">
        <v>87.5</v>
      </c>
      <c r="N448" s="711">
        <v>60</v>
      </c>
      <c r="O448" s="712">
        <v>134</v>
      </c>
    </row>
    <row r="449" spans="1:15" s="86" customFormat="1" ht="15" x14ac:dyDescent="0.25">
      <c r="A449" s="1287"/>
      <c r="B449" s="87" t="s">
        <v>843</v>
      </c>
      <c r="C449" s="88">
        <v>482</v>
      </c>
      <c r="D449" s="711">
        <v>100.20331950207469</v>
      </c>
      <c r="E449" s="711">
        <v>6.7260122299360061</v>
      </c>
      <c r="F449" s="711">
        <v>100</v>
      </c>
      <c r="G449" s="711">
        <v>86</v>
      </c>
      <c r="H449" s="711">
        <v>130</v>
      </c>
      <c r="I449" s="711"/>
      <c r="J449" s="717">
        <v>468</v>
      </c>
      <c r="K449" s="711">
        <v>101.44444444444444</v>
      </c>
      <c r="L449" s="711">
        <v>9.2293586530592648</v>
      </c>
      <c r="M449" s="711">
        <v>101</v>
      </c>
      <c r="N449" s="711">
        <v>71</v>
      </c>
      <c r="O449" s="712">
        <v>143</v>
      </c>
    </row>
    <row r="450" spans="1:15" s="86" customFormat="1" ht="15" x14ac:dyDescent="0.25">
      <c r="A450" s="1288"/>
      <c r="B450" s="89" t="s">
        <v>844</v>
      </c>
      <c r="C450" s="90">
        <v>482</v>
      </c>
      <c r="D450" s="98">
        <v>0.94491493775933699</v>
      </c>
      <c r="E450" s="98">
        <v>6.2912894150658177E-2</v>
      </c>
      <c r="F450" s="98">
        <v>0.9415</v>
      </c>
      <c r="G450" s="98">
        <v>0.65</v>
      </c>
      <c r="H450" s="98">
        <v>1.19</v>
      </c>
      <c r="I450" s="98"/>
      <c r="J450" s="718">
        <v>468</v>
      </c>
      <c r="K450" s="98">
        <v>0.8629423076923074</v>
      </c>
      <c r="L450" s="98">
        <v>6.1410951919410608E-2</v>
      </c>
      <c r="M450" s="98">
        <v>0.86349999999999993</v>
      </c>
      <c r="N450" s="98">
        <v>0.60199999999999998</v>
      </c>
      <c r="O450" s="99">
        <v>1.0680000000000001</v>
      </c>
    </row>
    <row r="451" spans="1:15" s="86" customFormat="1" ht="15" x14ac:dyDescent="0.25">
      <c r="A451" s="1286" t="s">
        <v>869</v>
      </c>
      <c r="B451" s="855" t="s">
        <v>837</v>
      </c>
      <c r="C451" s="856">
        <v>7726</v>
      </c>
      <c r="D451" s="857">
        <v>52.99</v>
      </c>
      <c r="E451" s="857">
        <v>10.16</v>
      </c>
      <c r="F451" s="857">
        <v>52</v>
      </c>
      <c r="G451" s="857">
        <v>1</v>
      </c>
      <c r="H451" s="857">
        <v>88</v>
      </c>
      <c r="I451" s="857"/>
      <c r="J451" s="858">
        <v>1460</v>
      </c>
      <c r="K451" s="857">
        <v>56.44</v>
      </c>
      <c r="L451" s="857">
        <v>9.9</v>
      </c>
      <c r="M451" s="857">
        <v>55</v>
      </c>
      <c r="N451" s="857">
        <v>30</v>
      </c>
      <c r="O451" s="710">
        <v>82</v>
      </c>
    </row>
    <row r="452" spans="1:15" s="86" customFormat="1" ht="15" x14ac:dyDescent="0.25">
      <c r="A452" s="1287"/>
      <c r="B452" s="87" t="s">
        <v>838</v>
      </c>
      <c r="C452" s="88">
        <v>7726</v>
      </c>
      <c r="D452" s="711">
        <v>25.83</v>
      </c>
      <c r="E452" s="711">
        <v>3.86</v>
      </c>
      <c r="F452" s="711">
        <v>25.39</v>
      </c>
      <c r="G452" s="711">
        <v>13.79</v>
      </c>
      <c r="H452" s="711">
        <v>64.72</v>
      </c>
      <c r="I452" s="711"/>
      <c r="J452" s="717">
        <v>1460</v>
      </c>
      <c r="K452" s="711">
        <v>26.42</v>
      </c>
      <c r="L452" s="711">
        <v>4.4800000000000004</v>
      </c>
      <c r="M452" s="711">
        <v>25.91</v>
      </c>
      <c r="N452" s="711">
        <v>15.62</v>
      </c>
      <c r="O452" s="712">
        <v>54.01</v>
      </c>
    </row>
    <row r="453" spans="1:15" s="86" customFormat="1" ht="15" x14ac:dyDescent="0.25">
      <c r="A453" s="1287"/>
      <c r="B453" s="87" t="s">
        <v>839</v>
      </c>
      <c r="C453" s="88">
        <v>7726</v>
      </c>
      <c r="D453" s="711">
        <v>72.739999999999995</v>
      </c>
      <c r="E453" s="711">
        <v>10.71</v>
      </c>
      <c r="F453" s="711">
        <v>72</v>
      </c>
      <c r="G453" s="711">
        <v>38</v>
      </c>
      <c r="H453" s="711">
        <v>189</v>
      </c>
      <c r="I453" s="711"/>
      <c r="J453" s="717">
        <v>1460</v>
      </c>
      <c r="K453" s="711">
        <v>67.2</v>
      </c>
      <c r="L453" s="711">
        <v>11.14</v>
      </c>
      <c r="M453" s="711">
        <v>66</v>
      </c>
      <c r="N453" s="711">
        <v>36</v>
      </c>
      <c r="O453" s="712">
        <v>120</v>
      </c>
    </row>
    <row r="454" spans="1:15" s="86" customFormat="1" ht="15" x14ac:dyDescent="0.25">
      <c r="A454" s="1287"/>
      <c r="B454" s="87" t="s">
        <v>840</v>
      </c>
      <c r="C454" s="88">
        <v>7726</v>
      </c>
      <c r="D454" s="711">
        <v>167.91</v>
      </c>
      <c r="E454" s="711">
        <v>6.58</v>
      </c>
      <c r="F454" s="711">
        <v>168</v>
      </c>
      <c r="G454" s="711">
        <v>101</v>
      </c>
      <c r="H454" s="711">
        <v>193</v>
      </c>
      <c r="I454" s="711"/>
      <c r="J454" s="717">
        <v>1460</v>
      </c>
      <c r="K454" s="711">
        <v>159.71</v>
      </c>
      <c r="L454" s="711">
        <v>8.57</v>
      </c>
      <c r="M454" s="711">
        <v>160</v>
      </c>
      <c r="N454" s="711">
        <v>128</v>
      </c>
      <c r="O454" s="712">
        <v>183</v>
      </c>
    </row>
    <row r="455" spans="1:15" s="86" customFormat="1" ht="15" x14ac:dyDescent="0.25">
      <c r="A455" s="1288"/>
      <c r="B455" s="89" t="s">
        <v>844</v>
      </c>
      <c r="C455" s="90">
        <v>7726</v>
      </c>
      <c r="D455" s="98">
        <v>0.97</v>
      </c>
      <c r="E455" s="98">
        <v>0.06</v>
      </c>
      <c r="F455" s="98">
        <v>0.97</v>
      </c>
      <c r="G455" s="98">
        <v>0.5</v>
      </c>
      <c r="H455" s="98">
        <v>1.95</v>
      </c>
      <c r="I455" s="98"/>
      <c r="J455" s="718">
        <v>1460</v>
      </c>
      <c r="K455" s="98">
        <v>0.97</v>
      </c>
      <c r="L455" s="98">
        <v>0.06</v>
      </c>
      <c r="M455" s="98">
        <v>0.96</v>
      </c>
      <c r="N455" s="98">
        <v>0.63</v>
      </c>
      <c r="O455" s="99">
        <v>1.3</v>
      </c>
    </row>
    <row r="456" spans="1:15" s="86" customFormat="1" ht="15" x14ac:dyDescent="0.25">
      <c r="A456" s="1286" t="s">
        <v>870</v>
      </c>
      <c r="B456" s="855" t="s">
        <v>837</v>
      </c>
      <c r="C456" s="856">
        <v>8913</v>
      </c>
      <c r="D456" s="857">
        <v>55.65</v>
      </c>
      <c r="E456" s="857">
        <v>8.91</v>
      </c>
      <c r="F456" s="857">
        <v>55</v>
      </c>
      <c r="G456" s="857">
        <v>27</v>
      </c>
      <c r="H456" s="857">
        <v>92.99</v>
      </c>
      <c r="I456" s="857"/>
      <c r="J456" s="858">
        <v>2821</v>
      </c>
      <c r="K456" s="857">
        <v>58.27</v>
      </c>
      <c r="L456" s="857">
        <v>9.42</v>
      </c>
      <c r="M456" s="857">
        <v>58.99</v>
      </c>
      <c r="N456" s="857">
        <v>28</v>
      </c>
      <c r="O456" s="710">
        <v>100</v>
      </c>
    </row>
    <row r="457" spans="1:15" s="86" customFormat="1" ht="15" x14ac:dyDescent="0.25">
      <c r="A457" s="1287"/>
      <c r="B457" s="87" t="s">
        <v>838</v>
      </c>
      <c r="C457" s="88">
        <v>8913</v>
      </c>
      <c r="D457" s="711">
        <v>25.76</v>
      </c>
      <c r="E457" s="711">
        <v>4.5199999999999996</v>
      </c>
      <c r="F457" s="711">
        <v>25.39</v>
      </c>
      <c r="G457" s="711">
        <v>11.94</v>
      </c>
      <c r="H457" s="711">
        <v>98.03</v>
      </c>
      <c r="I457" s="711"/>
      <c r="J457" s="717">
        <v>2821</v>
      </c>
      <c r="K457" s="711">
        <v>27.09</v>
      </c>
      <c r="L457" s="711">
        <v>5.46</v>
      </c>
      <c r="M457" s="711">
        <v>26.4</v>
      </c>
      <c r="N457" s="711">
        <v>13.34</v>
      </c>
      <c r="O457" s="712">
        <v>84.64</v>
      </c>
    </row>
    <row r="458" spans="1:15" s="86" customFormat="1" ht="15" x14ac:dyDescent="0.25">
      <c r="A458" s="1287"/>
      <c r="B458" s="87" t="s">
        <v>839</v>
      </c>
      <c r="C458" s="88">
        <v>8913</v>
      </c>
      <c r="D458" s="711">
        <v>73.430000000000007</v>
      </c>
      <c r="E458" s="711">
        <v>13.2</v>
      </c>
      <c r="F458" s="711">
        <v>72</v>
      </c>
      <c r="G458" s="711">
        <v>36</v>
      </c>
      <c r="H458" s="711">
        <v>174</v>
      </c>
      <c r="I458" s="711"/>
      <c r="J458" s="717">
        <v>2821</v>
      </c>
      <c r="K458" s="711">
        <v>67.05</v>
      </c>
      <c r="L458" s="711">
        <v>12.48</v>
      </c>
      <c r="M458" s="711">
        <v>67</v>
      </c>
      <c r="N458" s="711">
        <v>30</v>
      </c>
      <c r="O458" s="712">
        <v>170</v>
      </c>
    </row>
    <row r="459" spans="1:15" s="86" customFormat="1" ht="15" x14ac:dyDescent="0.25">
      <c r="A459" s="1287"/>
      <c r="B459" s="87" t="s">
        <v>840</v>
      </c>
      <c r="C459" s="88">
        <v>8913</v>
      </c>
      <c r="D459" s="711">
        <v>168.87</v>
      </c>
      <c r="E459" s="711">
        <v>7.41</v>
      </c>
      <c r="F459" s="711">
        <v>169</v>
      </c>
      <c r="G459" s="711">
        <v>101</v>
      </c>
      <c r="H459" s="711">
        <v>198</v>
      </c>
      <c r="I459" s="711"/>
      <c r="J459" s="717">
        <v>2821</v>
      </c>
      <c r="K459" s="711">
        <v>157.63</v>
      </c>
      <c r="L459" s="711">
        <v>8.76</v>
      </c>
      <c r="M459" s="711">
        <v>158</v>
      </c>
      <c r="N459" s="711">
        <v>104</v>
      </c>
      <c r="O459" s="712">
        <v>187</v>
      </c>
    </row>
    <row r="460" spans="1:15" s="86" customFormat="1" ht="15" x14ac:dyDescent="0.25">
      <c r="A460" s="1288"/>
      <c r="B460" s="89" t="s">
        <v>844</v>
      </c>
      <c r="C460" s="90">
        <v>8913</v>
      </c>
      <c r="D460" s="98">
        <v>0.96</v>
      </c>
      <c r="E460" s="98">
        <v>0.06</v>
      </c>
      <c r="F460" s="98">
        <v>0.96</v>
      </c>
      <c r="G460" s="98">
        <v>0.52</v>
      </c>
      <c r="H460" s="98">
        <v>1.83</v>
      </c>
      <c r="I460" s="98"/>
      <c r="J460" s="718">
        <v>2821</v>
      </c>
      <c r="K460" s="98">
        <v>0.94</v>
      </c>
      <c r="L460" s="98">
        <v>7.0000000000000007E-2</v>
      </c>
      <c r="M460" s="98">
        <v>0.94</v>
      </c>
      <c r="N460" s="98">
        <v>0.67</v>
      </c>
      <c r="O460" s="99">
        <v>1.52</v>
      </c>
    </row>
    <row r="461" spans="1:15" s="86" customFormat="1" ht="15" x14ac:dyDescent="0.25">
      <c r="A461" s="1286" t="s">
        <v>576</v>
      </c>
      <c r="B461" s="855" t="s">
        <v>837</v>
      </c>
      <c r="C461" s="856">
        <v>553</v>
      </c>
      <c r="D461" s="857">
        <v>20.03</v>
      </c>
      <c r="E461" s="857">
        <v>0.44400000000000001</v>
      </c>
      <c r="F461" s="857">
        <v>19.920000000000002</v>
      </c>
      <c r="G461" s="857">
        <v>19.329999999999998</v>
      </c>
      <c r="H461" s="857">
        <v>22.08</v>
      </c>
      <c r="I461" s="857"/>
      <c r="J461" s="858">
        <v>515</v>
      </c>
      <c r="K461" s="857">
        <v>19.97</v>
      </c>
      <c r="L461" s="857">
        <v>0.40500000000000003</v>
      </c>
      <c r="M461" s="857">
        <v>19.920000000000002</v>
      </c>
      <c r="N461" s="857">
        <v>19.170000000000002</v>
      </c>
      <c r="O461" s="710">
        <v>21.83</v>
      </c>
    </row>
    <row r="462" spans="1:15" s="86" customFormat="1" ht="15" x14ac:dyDescent="0.25">
      <c r="A462" s="1287"/>
      <c r="B462" s="87" t="s">
        <v>838</v>
      </c>
      <c r="C462" s="88">
        <v>553</v>
      </c>
      <c r="D462" s="711">
        <v>24.62</v>
      </c>
      <c r="E462" s="711">
        <v>4.5990000000000002</v>
      </c>
      <c r="F462" s="711">
        <v>23.75</v>
      </c>
      <c r="G462" s="711">
        <v>16.7</v>
      </c>
      <c r="H462" s="711">
        <v>48.89</v>
      </c>
      <c r="I462" s="711"/>
      <c r="J462" s="717">
        <v>515</v>
      </c>
      <c r="K462" s="711">
        <v>24.56</v>
      </c>
      <c r="L462" s="711">
        <v>5.5039999999999996</v>
      </c>
      <c r="M462" s="711">
        <v>23.22</v>
      </c>
      <c r="N462" s="711">
        <v>15.35</v>
      </c>
      <c r="O462" s="712">
        <v>51.73</v>
      </c>
    </row>
    <row r="463" spans="1:15" s="86" customFormat="1" ht="15" x14ac:dyDescent="0.25">
      <c r="A463" s="1287"/>
      <c r="B463" s="87" t="s">
        <v>839</v>
      </c>
      <c r="C463" s="88">
        <v>553</v>
      </c>
      <c r="D463" s="711">
        <v>79.790000000000006</v>
      </c>
      <c r="E463" s="711">
        <v>16.221</v>
      </c>
      <c r="F463" s="711">
        <v>77.2</v>
      </c>
      <c r="G463" s="711">
        <v>51.7</v>
      </c>
      <c r="H463" s="711">
        <v>176.5</v>
      </c>
      <c r="I463" s="711"/>
      <c r="J463" s="717">
        <v>515</v>
      </c>
      <c r="K463" s="711">
        <v>67.88</v>
      </c>
      <c r="L463" s="711">
        <v>15.326000000000001</v>
      </c>
      <c r="M463" s="711">
        <v>65.099999999999994</v>
      </c>
      <c r="N463" s="711">
        <v>41.9</v>
      </c>
      <c r="O463" s="712">
        <v>144</v>
      </c>
    </row>
    <row r="464" spans="1:15" s="86" customFormat="1" ht="15" x14ac:dyDescent="0.25">
      <c r="A464" s="1287"/>
      <c r="B464" s="87" t="s">
        <v>840</v>
      </c>
      <c r="C464" s="88">
        <v>553</v>
      </c>
      <c r="D464" s="711">
        <v>179.8</v>
      </c>
      <c r="E464" s="711">
        <v>7.0659999999999998</v>
      </c>
      <c r="F464" s="711">
        <v>180</v>
      </c>
      <c r="G464" s="711">
        <v>162</v>
      </c>
      <c r="H464" s="711">
        <v>199</v>
      </c>
      <c r="I464" s="711"/>
      <c r="J464" s="717">
        <v>515</v>
      </c>
      <c r="K464" s="711">
        <v>166.3</v>
      </c>
      <c r="L464" s="711">
        <v>6.3259999999999996</v>
      </c>
      <c r="M464" s="711">
        <v>166.4</v>
      </c>
      <c r="N464" s="711">
        <v>150</v>
      </c>
      <c r="O464" s="712">
        <v>190</v>
      </c>
    </row>
    <row r="465" spans="1:15" s="86" customFormat="1" ht="15" x14ac:dyDescent="0.25">
      <c r="A465" s="1287"/>
      <c r="B465" s="87" t="s">
        <v>841</v>
      </c>
      <c r="C465" s="88">
        <v>553</v>
      </c>
      <c r="D465" s="711">
        <v>83.53</v>
      </c>
      <c r="E465" s="711">
        <v>12.234999999999999</v>
      </c>
      <c r="F465" s="711">
        <v>81.2</v>
      </c>
      <c r="G465" s="711">
        <v>43.75</v>
      </c>
      <c r="H465" s="711">
        <v>145.5</v>
      </c>
      <c r="I465" s="711"/>
      <c r="J465" s="717">
        <v>514</v>
      </c>
      <c r="K465" s="711">
        <v>77.739999999999995</v>
      </c>
      <c r="L465" s="711">
        <v>12.898999999999999</v>
      </c>
      <c r="M465" s="711">
        <v>74.680000000000007</v>
      </c>
      <c r="N465" s="711">
        <v>44.9</v>
      </c>
      <c r="O465" s="712">
        <v>136.19999999999999</v>
      </c>
    </row>
    <row r="466" spans="1:15" s="86" customFormat="1" ht="15" x14ac:dyDescent="0.25">
      <c r="A466" s="1287"/>
      <c r="B466" s="87" t="s">
        <v>843</v>
      </c>
      <c r="C466" s="88">
        <v>553</v>
      </c>
      <c r="D466" s="711">
        <v>99.51</v>
      </c>
      <c r="E466" s="711">
        <v>9.1229999999999993</v>
      </c>
      <c r="F466" s="711">
        <v>98.6</v>
      </c>
      <c r="G466" s="711">
        <v>78.75</v>
      </c>
      <c r="H466" s="711">
        <v>144.5</v>
      </c>
      <c r="I466" s="711"/>
      <c r="J466" s="717">
        <v>514</v>
      </c>
      <c r="K466" s="711">
        <v>98.85</v>
      </c>
      <c r="L466" s="711">
        <v>11.728999999999999</v>
      </c>
      <c r="M466" s="711">
        <v>98</v>
      </c>
      <c r="N466" s="711">
        <v>40.299999999999997</v>
      </c>
      <c r="O466" s="712">
        <v>153.80000000000001</v>
      </c>
    </row>
    <row r="467" spans="1:15" s="86" customFormat="1" ht="15" x14ac:dyDescent="0.25">
      <c r="A467" s="1288"/>
      <c r="B467" s="89" t="s">
        <v>844</v>
      </c>
      <c r="C467" s="90">
        <v>553</v>
      </c>
      <c r="D467" s="98">
        <v>0.83679999999999999</v>
      </c>
      <c r="E467" s="98">
        <v>6.2600000000000003E-2</v>
      </c>
      <c r="F467" s="98">
        <v>0.82809999999999995</v>
      </c>
      <c r="G467" s="98">
        <v>0.5464</v>
      </c>
      <c r="H467" s="98">
        <v>1.083</v>
      </c>
      <c r="I467" s="98"/>
      <c r="J467" s="718">
        <v>514</v>
      </c>
      <c r="K467" s="98">
        <v>0.82240000000000002</v>
      </c>
      <c r="L467" s="98">
        <v>8.72E-2</v>
      </c>
      <c r="M467" s="98">
        <v>0.77690000000000003</v>
      </c>
      <c r="N467" s="98">
        <v>0.46289999999999998</v>
      </c>
      <c r="O467" s="99">
        <v>1.744</v>
      </c>
    </row>
    <row r="468" spans="1:15" s="86" customFormat="1" ht="15" x14ac:dyDescent="0.25">
      <c r="A468" s="1286" t="s">
        <v>581</v>
      </c>
      <c r="B468" s="855" t="s">
        <v>837</v>
      </c>
      <c r="C468" s="856">
        <v>156</v>
      </c>
      <c r="D468" s="857">
        <v>44.717948700000001</v>
      </c>
      <c r="E468" s="857">
        <v>8.2741688</v>
      </c>
      <c r="F468" s="857">
        <v>45</v>
      </c>
      <c r="G468" s="857">
        <v>30</v>
      </c>
      <c r="H468" s="857">
        <v>60</v>
      </c>
      <c r="I468" s="857"/>
      <c r="J468" s="858">
        <v>157</v>
      </c>
      <c r="K468" s="857">
        <v>45.8152866</v>
      </c>
      <c r="L468" s="857">
        <v>7.8518507</v>
      </c>
      <c r="M468" s="857">
        <v>46</v>
      </c>
      <c r="N468" s="857">
        <v>30</v>
      </c>
      <c r="O468" s="710">
        <v>60</v>
      </c>
    </row>
    <row r="469" spans="1:15" s="86" customFormat="1" ht="15" x14ac:dyDescent="0.25">
      <c r="A469" s="1287"/>
      <c r="B469" s="87" t="s">
        <v>838</v>
      </c>
      <c r="C469" s="88">
        <v>156</v>
      </c>
      <c r="D469" s="711">
        <v>26.033974400000002</v>
      </c>
      <c r="E469" s="711">
        <v>3.4794233000000001</v>
      </c>
      <c r="F469" s="711">
        <v>25.95</v>
      </c>
      <c r="G469" s="711">
        <v>17.899999999999999</v>
      </c>
      <c r="H469" s="711">
        <v>39.299999999999997</v>
      </c>
      <c r="I469" s="711"/>
      <c r="J469" s="717">
        <v>157</v>
      </c>
      <c r="K469" s="711">
        <v>25.203184700000001</v>
      </c>
      <c r="L469" s="711">
        <v>4.5382338999999998</v>
      </c>
      <c r="M469" s="711">
        <v>24.3</v>
      </c>
      <c r="N469" s="711">
        <v>16.899999999999999</v>
      </c>
      <c r="O469" s="712">
        <v>42.9</v>
      </c>
    </row>
    <row r="470" spans="1:15" s="86" customFormat="1" ht="15" x14ac:dyDescent="0.25">
      <c r="A470" s="1287"/>
      <c r="B470" s="87" t="s">
        <v>840</v>
      </c>
      <c r="C470" s="88">
        <v>156</v>
      </c>
      <c r="D470" s="711">
        <v>178.55769230000001</v>
      </c>
      <c r="E470" s="711">
        <v>7.2789935000000003</v>
      </c>
      <c r="F470" s="711">
        <v>178</v>
      </c>
      <c r="G470" s="711">
        <v>164</v>
      </c>
      <c r="H470" s="711">
        <v>203</v>
      </c>
      <c r="I470" s="711"/>
      <c r="J470" s="717">
        <v>157</v>
      </c>
      <c r="K470" s="711">
        <v>164.9044586</v>
      </c>
      <c r="L470" s="711">
        <v>6.7204084899999996</v>
      </c>
      <c r="M470" s="711">
        <v>166</v>
      </c>
      <c r="N470" s="711">
        <v>148</v>
      </c>
      <c r="O470" s="712">
        <v>187</v>
      </c>
    </row>
    <row r="471" spans="1:15" s="86" customFormat="1" ht="15" x14ac:dyDescent="0.25">
      <c r="A471" s="1288"/>
      <c r="B471" s="89" t="s">
        <v>844</v>
      </c>
      <c r="C471" s="90">
        <v>155</v>
      </c>
      <c r="D471" s="98">
        <v>0.93128982699999996</v>
      </c>
      <c r="E471" s="98">
        <v>6.9528072999999996E-2</v>
      </c>
      <c r="F471" s="98">
        <v>0.93396226400000004</v>
      </c>
      <c r="G471" s="98">
        <v>0.76767676799999995</v>
      </c>
      <c r="H471" s="98">
        <v>1.209302326</v>
      </c>
      <c r="I471" s="98"/>
      <c r="J471" s="718">
        <v>156</v>
      </c>
      <c r="K471" s="98">
        <v>0.82793683600000001</v>
      </c>
      <c r="L471" s="98">
        <v>0.117329235</v>
      </c>
      <c r="M471" s="98">
        <v>0.81092353500000003</v>
      </c>
      <c r="N471" s="98">
        <v>0.64601769899999995</v>
      </c>
      <c r="O471" s="99">
        <v>1.6545454550000001</v>
      </c>
    </row>
    <row r="472" spans="1:15" s="86" customFormat="1" ht="15" x14ac:dyDescent="0.25">
      <c r="A472" s="1286" t="s">
        <v>584</v>
      </c>
      <c r="B472" s="855" t="s">
        <v>837</v>
      </c>
      <c r="C472" s="856">
        <v>1343</v>
      </c>
      <c r="D472" s="857">
        <v>67.92</v>
      </c>
      <c r="E472" s="857">
        <v>7.7</v>
      </c>
      <c r="F472" s="857">
        <v>67.180000000000007</v>
      </c>
      <c r="G472" s="857">
        <v>55.1</v>
      </c>
      <c r="H472" s="857">
        <v>97.81</v>
      </c>
      <c r="I472" s="857"/>
      <c r="J472" s="858">
        <v>1469</v>
      </c>
      <c r="K472" s="857">
        <v>70.58</v>
      </c>
      <c r="L472" s="857">
        <v>8.76</v>
      </c>
      <c r="M472" s="857">
        <v>70.64</v>
      </c>
      <c r="N472" s="857">
        <v>55.01</v>
      </c>
      <c r="O472" s="710">
        <v>99.09</v>
      </c>
    </row>
    <row r="473" spans="1:15" s="86" customFormat="1" ht="15" x14ac:dyDescent="0.25">
      <c r="A473" s="1287"/>
      <c r="B473" s="87" t="s">
        <v>838</v>
      </c>
      <c r="C473" s="88">
        <v>1343</v>
      </c>
      <c r="D473" s="711">
        <v>25.72</v>
      </c>
      <c r="E473" s="711">
        <v>3.01</v>
      </c>
      <c r="F473" s="711">
        <v>25.63</v>
      </c>
      <c r="G473" s="711">
        <v>14.19</v>
      </c>
      <c r="H473" s="711">
        <v>38.19</v>
      </c>
      <c r="I473" s="711"/>
      <c r="J473" s="717">
        <v>1469</v>
      </c>
      <c r="K473" s="711">
        <v>26.76</v>
      </c>
      <c r="L473" s="711">
        <v>3.99</v>
      </c>
      <c r="M473" s="711">
        <v>26.29</v>
      </c>
      <c r="N473" s="711">
        <v>15.43</v>
      </c>
      <c r="O473" s="712">
        <v>48.95</v>
      </c>
    </row>
    <row r="474" spans="1:15" s="86" customFormat="1" ht="15" x14ac:dyDescent="0.25">
      <c r="A474" s="1287"/>
      <c r="B474" s="87" t="s">
        <v>839</v>
      </c>
      <c r="C474" s="88">
        <v>1343</v>
      </c>
      <c r="D474" s="711">
        <v>78.77</v>
      </c>
      <c r="E474" s="711">
        <v>10.83</v>
      </c>
      <c r="F474" s="711">
        <v>77.8</v>
      </c>
      <c r="G474" s="711">
        <v>41</v>
      </c>
      <c r="H474" s="711">
        <v>122.3</v>
      </c>
      <c r="I474" s="711"/>
      <c r="J474" s="717">
        <v>1469</v>
      </c>
      <c r="K474" s="711">
        <v>69.55</v>
      </c>
      <c r="L474" s="711">
        <v>11.16</v>
      </c>
      <c r="M474" s="711">
        <v>68.599999999999994</v>
      </c>
      <c r="N474" s="711">
        <v>40.1</v>
      </c>
      <c r="O474" s="712">
        <v>130.80000000000001</v>
      </c>
    </row>
    <row r="475" spans="1:15" s="86" customFormat="1" ht="15" x14ac:dyDescent="0.25">
      <c r="A475" s="1287"/>
      <c r="B475" s="87" t="s">
        <v>840</v>
      </c>
      <c r="C475" s="88">
        <v>1343</v>
      </c>
      <c r="D475" s="711">
        <v>174.92</v>
      </c>
      <c r="E475" s="711">
        <v>6.73</v>
      </c>
      <c r="F475" s="711">
        <v>175</v>
      </c>
      <c r="G475" s="711">
        <v>151</v>
      </c>
      <c r="H475" s="711">
        <v>198</v>
      </c>
      <c r="I475" s="711"/>
      <c r="J475" s="717">
        <v>1469</v>
      </c>
      <c r="K475" s="711">
        <v>161.21</v>
      </c>
      <c r="L475" s="711">
        <v>6.42</v>
      </c>
      <c r="M475" s="711">
        <v>161</v>
      </c>
      <c r="N475" s="711">
        <v>135</v>
      </c>
      <c r="O475" s="712">
        <v>180</v>
      </c>
    </row>
    <row r="476" spans="1:15" s="86" customFormat="1" ht="15" x14ac:dyDescent="0.25">
      <c r="A476" s="1287"/>
      <c r="B476" s="87" t="s">
        <v>841</v>
      </c>
      <c r="C476" s="88">
        <v>1343</v>
      </c>
      <c r="D476" s="711">
        <v>94.24</v>
      </c>
      <c r="E476" s="711">
        <v>9.73</v>
      </c>
      <c r="F476" s="711">
        <v>94</v>
      </c>
      <c r="G476" s="711">
        <v>58</v>
      </c>
      <c r="H476" s="711">
        <v>150</v>
      </c>
      <c r="I476" s="711"/>
      <c r="J476" s="717">
        <v>1469</v>
      </c>
      <c r="K476" s="711">
        <v>88</v>
      </c>
      <c r="L476" s="711">
        <v>11.37</v>
      </c>
      <c r="M476" s="711">
        <v>87</v>
      </c>
      <c r="N476" s="711">
        <v>59</v>
      </c>
      <c r="O476" s="712">
        <v>138</v>
      </c>
    </row>
    <row r="477" spans="1:15" s="86" customFormat="1" ht="15" x14ac:dyDescent="0.25">
      <c r="A477" s="1287"/>
      <c r="B477" s="87" t="s">
        <v>843</v>
      </c>
      <c r="C477" s="88">
        <v>1343</v>
      </c>
      <c r="D477" s="711">
        <v>98.45</v>
      </c>
      <c r="E477" s="711">
        <v>6.43</v>
      </c>
      <c r="F477" s="711">
        <v>98</v>
      </c>
      <c r="G477" s="711">
        <v>70</v>
      </c>
      <c r="H477" s="711">
        <v>150</v>
      </c>
      <c r="I477" s="711"/>
      <c r="J477" s="717">
        <v>1469</v>
      </c>
      <c r="K477" s="711">
        <v>100.97</v>
      </c>
      <c r="L477" s="711">
        <v>8.6</v>
      </c>
      <c r="M477" s="711">
        <v>100</v>
      </c>
      <c r="N477" s="711">
        <v>72</v>
      </c>
      <c r="O477" s="712">
        <v>160</v>
      </c>
    </row>
    <row r="478" spans="1:15" s="86" customFormat="1" ht="15" x14ac:dyDescent="0.25">
      <c r="A478" s="1288"/>
      <c r="B478" s="89" t="s">
        <v>844</v>
      </c>
      <c r="C478" s="90">
        <v>1343</v>
      </c>
      <c r="D478" s="98">
        <v>0.96</v>
      </c>
      <c r="E478" s="98">
        <v>7.0000000000000007E-2</v>
      </c>
      <c r="F478" s="98">
        <v>0.96</v>
      </c>
      <c r="G478" s="98">
        <v>0.72</v>
      </c>
      <c r="H478" s="98">
        <v>1.25</v>
      </c>
      <c r="I478" s="98"/>
      <c r="J478" s="718">
        <v>1469</v>
      </c>
      <c r="K478" s="98">
        <v>0.87</v>
      </c>
      <c r="L478" s="98">
        <v>0.09</v>
      </c>
      <c r="M478" s="98">
        <v>0.86</v>
      </c>
      <c r="N478" s="98">
        <v>0.66</v>
      </c>
      <c r="O478" s="99">
        <v>1.31</v>
      </c>
    </row>
    <row r="479" spans="1:15" s="86" customFormat="1" ht="15" x14ac:dyDescent="0.25">
      <c r="A479" s="1286" t="s">
        <v>588</v>
      </c>
      <c r="B479" s="855" t="s">
        <v>837</v>
      </c>
      <c r="C479" s="856">
        <v>836</v>
      </c>
      <c r="D479" s="857">
        <v>62.23</v>
      </c>
      <c r="E479" s="857">
        <v>10.08</v>
      </c>
      <c r="F479" s="857">
        <v>62.5</v>
      </c>
      <c r="G479" s="857">
        <v>32.68</v>
      </c>
      <c r="H479" s="857">
        <v>91.7</v>
      </c>
      <c r="I479" s="857"/>
      <c r="J479" s="858">
        <v>489</v>
      </c>
      <c r="K479" s="857">
        <v>65.790000000000006</v>
      </c>
      <c r="L479" s="857">
        <v>10.88</v>
      </c>
      <c r="M479" s="857">
        <v>66.599999999999994</v>
      </c>
      <c r="N479" s="857">
        <v>28.5</v>
      </c>
      <c r="O479" s="710">
        <v>90.9</v>
      </c>
    </row>
    <row r="480" spans="1:15" s="86" customFormat="1" ht="15" x14ac:dyDescent="0.25">
      <c r="A480" s="1287"/>
      <c r="B480" s="87" t="s">
        <v>838</v>
      </c>
      <c r="C480" s="88">
        <v>836</v>
      </c>
      <c r="D480" s="711">
        <v>30.1</v>
      </c>
      <c r="E480" s="711">
        <v>5.04</v>
      </c>
      <c r="F480" s="711">
        <v>29.38</v>
      </c>
      <c r="G480" s="711">
        <v>20.12</v>
      </c>
      <c r="H480" s="711">
        <v>54.83</v>
      </c>
      <c r="I480" s="711"/>
      <c r="J480" s="717">
        <v>489</v>
      </c>
      <c r="K480" s="711">
        <v>30.91</v>
      </c>
      <c r="L480" s="711">
        <v>6.08</v>
      </c>
      <c r="M480" s="711">
        <v>30.25</v>
      </c>
      <c r="N480" s="711">
        <v>20.079999999999998</v>
      </c>
      <c r="O480" s="712">
        <v>59.3</v>
      </c>
    </row>
    <row r="481" spans="1:15" s="86" customFormat="1" ht="15" x14ac:dyDescent="0.25">
      <c r="A481" s="1287"/>
      <c r="B481" s="87" t="s">
        <v>839</v>
      </c>
      <c r="C481" s="88">
        <v>836</v>
      </c>
      <c r="D481" s="711">
        <v>95.09</v>
      </c>
      <c r="E481" s="711">
        <v>17.66</v>
      </c>
      <c r="F481" s="711">
        <v>92.6</v>
      </c>
      <c r="G481" s="711">
        <v>54.8</v>
      </c>
      <c r="H481" s="711">
        <v>174</v>
      </c>
      <c r="I481" s="711"/>
      <c r="J481" s="717">
        <v>489</v>
      </c>
      <c r="K481" s="711">
        <v>81.33</v>
      </c>
      <c r="L481" s="711">
        <v>16.559999999999999</v>
      </c>
      <c r="M481" s="711">
        <v>79</v>
      </c>
      <c r="N481" s="711">
        <v>49.5</v>
      </c>
      <c r="O481" s="712">
        <v>159.5</v>
      </c>
    </row>
    <row r="482" spans="1:15" s="86" customFormat="1" ht="15" x14ac:dyDescent="0.25">
      <c r="A482" s="1287"/>
      <c r="B482" s="87" t="s">
        <v>840</v>
      </c>
      <c r="C482" s="88">
        <v>836</v>
      </c>
      <c r="D482" s="711">
        <v>177.52</v>
      </c>
      <c r="E482" s="711">
        <v>7.05</v>
      </c>
      <c r="F482" s="711">
        <v>177</v>
      </c>
      <c r="G482" s="711">
        <v>157</v>
      </c>
      <c r="H482" s="711">
        <v>206</v>
      </c>
      <c r="I482" s="711"/>
      <c r="J482" s="717">
        <v>489</v>
      </c>
      <c r="K482" s="711">
        <v>162.19999999999999</v>
      </c>
      <c r="L482" s="711">
        <v>6.28</v>
      </c>
      <c r="M482" s="711">
        <v>162</v>
      </c>
      <c r="N482" s="711">
        <v>144</v>
      </c>
      <c r="O482" s="712">
        <v>183</v>
      </c>
    </row>
    <row r="483" spans="1:15" s="86" customFormat="1" ht="15" x14ac:dyDescent="0.25">
      <c r="A483" s="1287"/>
      <c r="B483" s="87" t="s">
        <v>841</v>
      </c>
      <c r="C483" s="88">
        <v>836</v>
      </c>
      <c r="D483" s="711">
        <v>107.69</v>
      </c>
      <c r="E483" s="711">
        <v>13.55</v>
      </c>
      <c r="F483" s="711">
        <v>106</v>
      </c>
      <c r="G483" s="711">
        <v>67</v>
      </c>
      <c r="H483" s="711">
        <v>162</v>
      </c>
      <c r="I483" s="711"/>
      <c r="J483" s="717">
        <v>489</v>
      </c>
      <c r="K483" s="711">
        <v>100.41</v>
      </c>
      <c r="L483" s="711">
        <v>14.92</v>
      </c>
      <c r="M483" s="711">
        <v>100</v>
      </c>
      <c r="N483" s="711">
        <v>62</v>
      </c>
      <c r="O483" s="712">
        <v>180</v>
      </c>
    </row>
    <row r="484" spans="1:15" s="86" customFormat="1" ht="15" x14ac:dyDescent="0.25">
      <c r="A484" s="1287"/>
      <c r="B484" s="87" t="s">
        <v>843</v>
      </c>
      <c r="C484" s="88">
        <v>836</v>
      </c>
      <c r="D484" s="711">
        <v>106.61</v>
      </c>
      <c r="E484" s="711">
        <v>9.98</v>
      </c>
      <c r="F484" s="711">
        <v>106</v>
      </c>
      <c r="G484" s="711">
        <v>80</v>
      </c>
      <c r="H484" s="711">
        <v>158</v>
      </c>
      <c r="I484" s="711"/>
      <c r="J484" s="717">
        <v>489</v>
      </c>
      <c r="K484" s="711">
        <v>109.37</v>
      </c>
      <c r="L484" s="711">
        <v>12.82</v>
      </c>
      <c r="M484" s="711">
        <v>108</v>
      </c>
      <c r="N484" s="711">
        <v>83</v>
      </c>
      <c r="O484" s="712">
        <v>180</v>
      </c>
    </row>
    <row r="485" spans="1:15" s="86" customFormat="1" ht="15" x14ac:dyDescent="0.25">
      <c r="A485" s="1288"/>
      <c r="B485" s="89" t="s">
        <v>844</v>
      </c>
      <c r="C485" s="90">
        <v>836</v>
      </c>
      <c r="D485" s="98">
        <v>1.01</v>
      </c>
      <c r="E485" s="98">
        <v>7.0000000000000007E-2</v>
      </c>
      <c r="F485" s="98">
        <v>1</v>
      </c>
      <c r="G485" s="98">
        <v>0.73</v>
      </c>
      <c r="H485" s="98">
        <v>1.32</v>
      </c>
      <c r="I485" s="98"/>
      <c r="J485" s="718">
        <v>489</v>
      </c>
      <c r="K485" s="98">
        <v>0.92</v>
      </c>
      <c r="L485" s="98">
        <v>0.09</v>
      </c>
      <c r="M485" s="98">
        <v>0.91</v>
      </c>
      <c r="N485" s="98">
        <v>0.65</v>
      </c>
      <c r="O485" s="99">
        <v>1.29</v>
      </c>
    </row>
    <row r="486" spans="1:15" s="86" customFormat="1" ht="15" x14ac:dyDescent="0.25">
      <c r="A486" s="1286" t="s">
        <v>592</v>
      </c>
      <c r="B486" s="855" t="s">
        <v>837</v>
      </c>
      <c r="C486" s="856">
        <v>1961</v>
      </c>
      <c r="D486" s="857">
        <v>50.663440000000001</v>
      </c>
      <c r="E486" s="857">
        <v>16.36544</v>
      </c>
      <c r="F486" s="857">
        <v>51</v>
      </c>
      <c r="G486" s="857">
        <v>20</v>
      </c>
      <c r="H486" s="857">
        <v>80</v>
      </c>
      <c r="I486" s="857"/>
      <c r="J486" s="858">
        <v>1917</v>
      </c>
      <c r="K486" s="857">
        <v>47.700049999999997</v>
      </c>
      <c r="L486" s="857">
        <v>15.356350000000001</v>
      </c>
      <c r="M486" s="857">
        <v>47</v>
      </c>
      <c r="N486" s="857">
        <v>20</v>
      </c>
      <c r="O486" s="710">
        <v>81</v>
      </c>
    </row>
    <row r="487" spans="1:15" s="86" customFormat="1" ht="15" x14ac:dyDescent="0.25">
      <c r="A487" s="1287"/>
      <c r="B487" s="87" t="s">
        <v>838</v>
      </c>
      <c r="C487" s="88">
        <v>1961</v>
      </c>
      <c r="D487" s="711">
        <v>27.67492</v>
      </c>
      <c r="E487" s="711">
        <v>4.0440329999999998</v>
      </c>
      <c r="F487" s="711">
        <v>27.407409999999999</v>
      </c>
      <c r="G487" s="711">
        <v>18.060939999999999</v>
      </c>
      <c r="H487" s="711">
        <v>48.070480000000003</v>
      </c>
      <c r="I487" s="711"/>
      <c r="J487" s="717">
        <v>1917</v>
      </c>
      <c r="K487" s="711">
        <v>26.89038</v>
      </c>
      <c r="L487" s="711">
        <v>5.3288489999999999</v>
      </c>
      <c r="M487" s="711">
        <v>26.095189999999999</v>
      </c>
      <c r="N487" s="711">
        <v>16.099540000000001</v>
      </c>
      <c r="O487" s="712">
        <v>52.403750000000002</v>
      </c>
    </row>
    <row r="488" spans="1:15" s="86" customFormat="1" ht="15" x14ac:dyDescent="0.25">
      <c r="A488" s="1287"/>
      <c r="B488" s="87" t="s">
        <v>839</v>
      </c>
      <c r="C488" s="88">
        <v>1961</v>
      </c>
      <c r="D488" s="711">
        <v>85.073070000000001</v>
      </c>
      <c r="E488" s="711">
        <v>13.54631</v>
      </c>
      <c r="F488" s="711">
        <v>83.8</v>
      </c>
      <c r="G488" s="711">
        <v>49.9</v>
      </c>
      <c r="H488" s="711">
        <v>156.4</v>
      </c>
      <c r="I488" s="711"/>
      <c r="J488" s="717">
        <v>1917</v>
      </c>
      <c r="K488" s="711">
        <v>71.299220000000005</v>
      </c>
      <c r="L488" s="711">
        <v>13.89151</v>
      </c>
      <c r="M488" s="711">
        <v>69.099999999999994</v>
      </c>
      <c r="N488" s="711">
        <v>41.3</v>
      </c>
      <c r="O488" s="712">
        <v>133.30000000000001</v>
      </c>
    </row>
    <row r="489" spans="1:15" s="86" customFormat="1" ht="15" x14ac:dyDescent="0.25">
      <c r="A489" s="1287"/>
      <c r="B489" s="87" t="s">
        <v>840</v>
      </c>
      <c r="C489" s="88">
        <v>1961</v>
      </c>
      <c r="D489" s="711">
        <v>175.30600000000001</v>
      </c>
      <c r="E489" s="711">
        <v>7.1440859999999997</v>
      </c>
      <c r="F489" s="711">
        <v>175</v>
      </c>
      <c r="G489" s="711">
        <v>148</v>
      </c>
      <c r="H489" s="711">
        <v>198</v>
      </c>
      <c r="I489" s="711"/>
      <c r="J489" s="717">
        <v>1917</v>
      </c>
      <c r="K489" s="711">
        <v>163.024</v>
      </c>
      <c r="L489" s="711">
        <v>6.8591139999999999</v>
      </c>
      <c r="M489" s="711">
        <v>163</v>
      </c>
      <c r="N489" s="711">
        <v>142</v>
      </c>
      <c r="O489" s="712">
        <v>186</v>
      </c>
    </row>
    <row r="490" spans="1:15" s="86" customFormat="1" ht="15" x14ac:dyDescent="0.25">
      <c r="A490" s="1287"/>
      <c r="B490" s="87" t="s">
        <v>841</v>
      </c>
      <c r="C490" s="88">
        <v>1961</v>
      </c>
      <c r="D490" s="711">
        <v>95.777869999999993</v>
      </c>
      <c r="E490" s="711">
        <v>11.67046</v>
      </c>
      <c r="F490" s="711">
        <v>95.3</v>
      </c>
      <c r="G490" s="711">
        <v>67.900000000000006</v>
      </c>
      <c r="H490" s="711">
        <v>143.5</v>
      </c>
      <c r="I490" s="711"/>
      <c r="J490" s="717">
        <v>1917</v>
      </c>
      <c r="K490" s="711">
        <v>82.894130000000004</v>
      </c>
      <c r="L490" s="711">
        <v>12.931480000000001</v>
      </c>
      <c r="M490" s="711">
        <v>81.2</v>
      </c>
      <c r="N490" s="711">
        <v>50.5</v>
      </c>
      <c r="O490" s="712">
        <v>129.30000000000001</v>
      </c>
    </row>
    <row r="491" spans="1:15" s="86" customFormat="1" ht="15" x14ac:dyDescent="0.25">
      <c r="A491" s="1287"/>
      <c r="B491" s="87" t="s">
        <v>843</v>
      </c>
      <c r="C491" s="88">
        <v>1961</v>
      </c>
      <c r="D491" s="711">
        <v>102.81780000000001</v>
      </c>
      <c r="E491" s="711">
        <v>7.8895020000000002</v>
      </c>
      <c r="F491" s="711">
        <v>102</v>
      </c>
      <c r="G491" s="711">
        <v>76.8</v>
      </c>
      <c r="H491" s="711">
        <v>146.5</v>
      </c>
      <c r="I491" s="711"/>
      <c r="J491" s="717">
        <v>1917</v>
      </c>
      <c r="K491" s="711">
        <v>102.9922</v>
      </c>
      <c r="L491" s="711">
        <v>11.43393</v>
      </c>
      <c r="M491" s="711">
        <v>101.7</v>
      </c>
      <c r="N491" s="711">
        <v>57.4</v>
      </c>
      <c r="O491" s="712">
        <v>148</v>
      </c>
    </row>
    <row r="492" spans="1:15" s="86" customFormat="1" ht="15" x14ac:dyDescent="0.25">
      <c r="A492" s="1288"/>
      <c r="B492" s="89" t="s">
        <v>844</v>
      </c>
      <c r="C492" s="90">
        <v>1961</v>
      </c>
      <c r="D492" s="98">
        <v>0.92951070000000002</v>
      </c>
      <c r="E492" s="98">
        <v>6.3381919999999994E-2</v>
      </c>
      <c r="F492" s="98">
        <v>0.93266329999999997</v>
      </c>
      <c r="G492" s="98">
        <v>0.70841299999999996</v>
      </c>
      <c r="H492" s="98">
        <v>1.191406</v>
      </c>
      <c r="I492" s="98"/>
      <c r="J492" s="718">
        <v>1917</v>
      </c>
      <c r="K492" s="98">
        <v>0.80254820000000004</v>
      </c>
      <c r="L492" s="98">
        <v>6.2772369999999994E-2</v>
      </c>
      <c r="M492" s="98">
        <v>0.80039919999999998</v>
      </c>
      <c r="N492" s="98">
        <v>0.55555560000000004</v>
      </c>
      <c r="O492" s="99">
        <v>1.3588849999999999</v>
      </c>
    </row>
    <row r="493" spans="1:15" s="86" customFormat="1" ht="15" x14ac:dyDescent="0.25">
      <c r="A493" s="1286" t="s">
        <v>596</v>
      </c>
      <c r="B493" s="855" t="s">
        <v>837</v>
      </c>
      <c r="C493" s="856">
        <v>2064</v>
      </c>
      <c r="D493" s="857">
        <v>52.662309999999998</v>
      </c>
      <c r="E493" s="857">
        <v>15.640370000000001</v>
      </c>
      <c r="F493" s="857">
        <v>53</v>
      </c>
      <c r="G493" s="857">
        <v>21</v>
      </c>
      <c r="H493" s="857">
        <v>83</v>
      </c>
      <c r="I493" s="857"/>
      <c r="J493" s="858">
        <v>2187</v>
      </c>
      <c r="K493" s="857">
        <v>51.411070000000002</v>
      </c>
      <c r="L493" s="857">
        <v>15.18895</v>
      </c>
      <c r="M493" s="857">
        <v>52</v>
      </c>
      <c r="N493" s="857">
        <v>20</v>
      </c>
      <c r="O493" s="710">
        <v>83</v>
      </c>
    </row>
    <row r="494" spans="1:15" s="86" customFormat="1" ht="15" x14ac:dyDescent="0.25">
      <c r="A494" s="1287"/>
      <c r="B494" s="87" t="s">
        <v>838</v>
      </c>
      <c r="C494" s="88">
        <v>2064</v>
      </c>
      <c r="D494" s="711">
        <v>28.65447</v>
      </c>
      <c r="E494" s="711">
        <v>4.6314679999999999</v>
      </c>
      <c r="F494" s="711">
        <v>28.2118</v>
      </c>
      <c r="G494" s="711">
        <v>17.65138</v>
      </c>
      <c r="H494" s="711">
        <v>52.847140000000003</v>
      </c>
      <c r="I494" s="711"/>
      <c r="J494" s="717">
        <v>2187</v>
      </c>
      <c r="K494" s="711">
        <v>27.642769999999999</v>
      </c>
      <c r="L494" s="711">
        <v>5.6803970000000001</v>
      </c>
      <c r="M494" s="711">
        <v>26.678419999999999</v>
      </c>
      <c r="N494" s="711">
        <v>15.6036</v>
      </c>
      <c r="O494" s="712">
        <v>54.421770000000002</v>
      </c>
    </row>
    <row r="495" spans="1:15" s="86" customFormat="1" ht="15" x14ac:dyDescent="0.25">
      <c r="A495" s="1287"/>
      <c r="B495" s="87" t="s">
        <v>839</v>
      </c>
      <c r="C495" s="88">
        <v>2064</v>
      </c>
      <c r="D495" s="711">
        <v>89.051699999999997</v>
      </c>
      <c r="E495" s="711">
        <v>15.17305</v>
      </c>
      <c r="F495" s="711">
        <v>87.3</v>
      </c>
      <c r="G495" s="711">
        <v>48.7</v>
      </c>
      <c r="H495" s="711">
        <v>169.2</v>
      </c>
      <c r="I495" s="711"/>
      <c r="J495" s="717">
        <v>2187</v>
      </c>
      <c r="K495" s="711">
        <v>73.999309999999994</v>
      </c>
      <c r="L495" s="711">
        <v>15.058579999999999</v>
      </c>
      <c r="M495" s="711">
        <v>71.7</v>
      </c>
      <c r="N495" s="711">
        <v>43.6</v>
      </c>
      <c r="O495" s="712">
        <v>153.6</v>
      </c>
    </row>
    <row r="496" spans="1:15" s="86" customFormat="1" ht="15" x14ac:dyDescent="0.25">
      <c r="A496" s="1287"/>
      <c r="B496" s="87" t="s">
        <v>840</v>
      </c>
      <c r="C496" s="88">
        <v>2064</v>
      </c>
      <c r="D496" s="711">
        <v>176.3031</v>
      </c>
      <c r="E496" s="711">
        <v>7.144031</v>
      </c>
      <c r="F496" s="711">
        <v>176</v>
      </c>
      <c r="G496" s="711">
        <v>154</v>
      </c>
      <c r="H496" s="711">
        <v>203</v>
      </c>
      <c r="I496" s="711"/>
      <c r="J496" s="717">
        <v>2187</v>
      </c>
      <c r="K496" s="711">
        <v>163.77780000000001</v>
      </c>
      <c r="L496" s="711">
        <v>6.7941909999999996</v>
      </c>
      <c r="M496" s="711">
        <v>164</v>
      </c>
      <c r="N496" s="711">
        <v>137</v>
      </c>
      <c r="O496" s="712">
        <v>189</v>
      </c>
    </row>
    <row r="497" spans="1:15" s="86" customFormat="1" ht="15" x14ac:dyDescent="0.25">
      <c r="A497" s="1287"/>
      <c r="B497" s="87" t="s">
        <v>841</v>
      </c>
      <c r="C497" s="88">
        <v>2064</v>
      </c>
      <c r="D497" s="711">
        <v>97.575339999999997</v>
      </c>
      <c r="E497" s="711">
        <v>12.82987</v>
      </c>
      <c r="F497" s="711">
        <v>96.9</v>
      </c>
      <c r="G497" s="711">
        <v>66.400000000000006</v>
      </c>
      <c r="H497" s="711">
        <v>159</v>
      </c>
      <c r="I497" s="711"/>
      <c r="J497" s="717">
        <v>2187</v>
      </c>
      <c r="K497" s="711">
        <v>85.368589999999998</v>
      </c>
      <c r="L497" s="711">
        <v>13.58954</v>
      </c>
      <c r="M497" s="711">
        <v>83.5</v>
      </c>
      <c r="N497" s="711">
        <v>48</v>
      </c>
      <c r="O497" s="712">
        <v>145.6</v>
      </c>
    </row>
    <row r="498" spans="1:15" s="86" customFormat="1" ht="15" x14ac:dyDescent="0.25">
      <c r="A498" s="1287"/>
      <c r="B498" s="87" t="s">
        <v>843</v>
      </c>
      <c r="C498" s="88">
        <v>2064</v>
      </c>
      <c r="D498" s="711">
        <v>102.3049</v>
      </c>
      <c r="E498" s="711">
        <v>9.0649169999999994</v>
      </c>
      <c r="F498" s="711">
        <v>101.3</v>
      </c>
      <c r="G498" s="711">
        <v>78.2</v>
      </c>
      <c r="H498" s="711">
        <v>159</v>
      </c>
      <c r="I498" s="711"/>
      <c r="J498" s="717">
        <v>2187</v>
      </c>
      <c r="K498" s="711">
        <v>102.9772</v>
      </c>
      <c r="L498" s="711">
        <v>12.0817</v>
      </c>
      <c r="M498" s="711">
        <v>101.4</v>
      </c>
      <c r="N498" s="711">
        <v>70</v>
      </c>
      <c r="O498" s="712">
        <v>165</v>
      </c>
    </row>
    <row r="499" spans="1:15" s="86" customFormat="1" ht="15" x14ac:dyDescent="0.25">
      <c r="A499" s="1288"/>
      <c r="B499" s="89" t="s">
        <v>844</v>
      </c>
      <c r="C499" s="90">
        <v>2064</v>
      </c>
      <c r="D499" s="98">
        <v>0.95197679999999996</v>
      </c>
      <c r="E499" s="98">
        <v>7.1774500000000005E-2</v>
      </c>
      <c r="F499" s="98">
        <v>0.952905</v>
      </c>
      <c r="G499" s="98">
        <v>0.73235289999999997</v>
      </c>
      <c r="H499" s="98">
        <v>1.1954020000000001</v>
      </c>
      <c r="I499" s="98"/>
      <c r="J499" s="718">
        <v>2187</v>
      </c>
      <c r="K499" s="98">
        <v>0.82683839999999997</v>
      </c>
      <c r="L499" s="98">
        <v>6.3679620000000006E-2</v>
      </c>
      <c r="M499" s="98">
        <v>0.82443650000000002</v>
      </c>
      <c r="N499" s="98">
        <v>0.49484539999999999</v>
      </c>
      <c r="O499" s="99">
        <v>1.3420719999999999</v>
      </c>
    </row>
    <row r="500" spans="1:15" s="86" customFormat="1" ht="15" x14ac:dyDescent="0.25">
      <c r="A500" s="1286" t="s">
        <v>871</v>
      </c>
      <c r="B500" s="855" t="s">
        <v>837</v>
      </c>
      <c r="C500" s="856">
        <v>133</v>
      </c>
      <c r="D500" s="857">
        <v>59.421052631999999</v>
      </c>
      <c r="E500" s="857">
        <v>9.9256405993999994</v>
      </c>
      <c r="F500" s="857">
        <v>60</v>
      </c>
      <c r="G500" s="857">
        <v>35</v>
      </c>
      <c r="H500" s="857">
        <v>82</v>
      </c>
      <c r="I500" s="857"/>
      <c r="J500" s="858">
        <v>69</v>
      </c>
      <c r="K500" s="857">
        <v>62.463768115999997</v>
      </c>
      <c r="L500" s="857">
        <v>10.269285602</v>
      </c>
      <c r="M500" s="857">
        <v>62</v>
      </c>
      <c r="N500" s="857">
        <v>36</v>
      </c>
      <c r="O500" s="710">
        <v>83</v>
      </c>
    </row>
    <row r="501" spans="1:15" s="86" customFormat="1" ht="15" x14ac:dyDescent="0.25">
      <c r="A501" s="1287"/>
      <c r="B501" s="87" t="s">
        <v>838</v>
      </c>
      <c r="C501" s="88">
        <v>133</v>
      </c>
      <c r="D501" s="711">
        <v>29.901075531</v>
      </c>
      <c r="E501" s="711">
        <v>6.8377281179000002</v>
      </c>
      <c r="F501" s="711">
        <v>28.961937716000001</v>
      </c>
      <c r="G501" s="711">
        <v>13.983814235000001</v>
      </c>
      <c r="H501" s="711">
        <v>51.390085863000003</v>
      </c>
      <c r="I501" s="711"/>
      <c r="J501" s="717">
        <v>69</v>
      </c>
      <c r="K501" s="711">
        <v>32.008485213</v>
      </c>
      <c r="L501" s="711">
        <v>7.1775009818999997</v>
      </c>
      <c r="M501" s="711">
        <v>31.588613407</v>
      </c>
      <c r="N501" s="711">
        <v>17.877978095</v>
      </c>
      <c r="O501" s="712">
        <v>49.448491154999999</v>
      </c>
    </row>
    <row r="502" spans="1:15" s="86" customFormat="1" ht="15" x14ac:dyDescent="0.25">
      <c r="A502" s="1287"/>
      <c r="B502" s="87" t="s">
        <v>839</v>
      </c>
      <c r="C502" s="88">
        <v>133</v>
      </c>
      <c r="D502" s="711">
        <v>92.102255639000006</v>
      </c>
      <c r="E502" s="711">
        <v>24.815362013000001</v>
      </c>
      <c r="F502" s="711">
        <v>88</v>
      </c>
      <c r="G502" s="711">
        <v>48.9</v>
      </c>
      <c r="H502" s="711">
        <v>168.1</v>
      </c>
      <c r="I502" s="711"/>
      <c r="J502" s="717">
        <v>69</v>
      </c>
      <c r="K502" s="711">
        <v>82.817391303999997</v>
      </c>
      <c r="L502" s="711">
        <v>20.169028064999999</v>
      </c>
      <c r="M502" s="711">
        <v>80.7</v>
      </c>
      <c r="N502" s="711">
        <v>47.5</v>
      </c>
      <c r="O502" s="712">
        <v>137</v>
      </c>
    </row>
    <row r="503" spans="1:15" s="86" customFormat="1" ht="15" x14ac:dyDescent="0.25">
      <c r="A503" s="1287"/>
      <c r="B503" s="87" t="s">
        <v>840</v>
      </c>
      <c r="C503" s="88">
        <v>133</v>
      </c>
      <c r="D503" s="711">
        <v>174.92481203</v>
      </c>
      <c r="E503" s="711">
        <v>8.8784929618999993</v>
      </c>
      <c r="F503" s="711">
        <v>175</v>
      </c>
      <c r="G503" s="711">
        <v>147</v>
      </c>
      <c r="H503" s="711">
        <v>198</v>
      </c>
      <c r="I503" s="711"/>
      <c r="J503" s="717">
        <v>69</v>
      </c>
      <c r="K503" s="711">
        <v>160.62318841000001</v>
      </c>
      <c r="L503" s="711">
        <v>6.3711238487999999</v>
      </c>
      <c r="M503" s="711">
        <v>162</v>
      </c>
      <c r="N503" s="711">
        <v>144</v>
      </c>
      <c r="O503" s="712">
        <v>172</v>
      </c>
    </row>
    <row r="504" spans="1:15" s="86" customFormat="1" ht="15" x14ac:dyDescent="0.25">
      <c r="A504" s="1287"/>
      <c r="B504" s="87" t="s">
        <v>841</v>
      </c>
      <c r="C504" s="88">
        <v>131</v>
      </c>
      <c r="D504" s="711">
        <v>103.57251908000001</v>
      </c>
      <c r="E504" s="711">
        <v>17.710939920000001</v>
      </c>
      <c r="F504" s="711">
        <v>102</v>
      </c>
      <c r="G504" s="711">
        <v>58</v>
      </c>
      <c r="H504" s="711">
        <v>165</v>
      </c>
      <c r="I504" s="711"/>
      <c r="J504" s="717">
        <v>67</v>
      </c>
      <c r="K504" s="711">
        <v>103.26865672</v>
      </c>
      <c r="L504" s="711">
        <v>17.406531419</v>
      </c>
      <c r="M504" s="711">
        <v>104</v>
      </c>
      <c r="N504" s="711">
        <v>69</v>
      </c>
      <c r="O504" s="712">
        <v>146</v>
      </c>
    </row>
    <row r="505" spans="1:15" s="86" customFormat="1" ht="15" x14ac:dyDescent="0.25">
      <c r="A505" s="1287"/>
      <c r="B505" s="87" t="s">
        <v>843</v>
      </c>
      <c r="C505" s="88">
        <v>131</v>
      </c>
      <c r="D505" s="711">
        <v>106.21374046</v>
      </c>
      <c r="E505" s="711">
        <v>14.956350662</v>
      </c>
      <c r="F505" s="711">
        <v>105</v>
      </c>
      <c r="G505" s="711">
        <v>70</v>
      </c>
      <c r="H505" s="711">
        <v>152</v>
      </c>
      <c r="I505" s="711"/>
      <c r="J505" s="717">
        <v>67</v>
      </c>
      <c r="K505" s="711">
        <v>111.98507463</v>
      </c>
      <c r="L505" s="711">
        <v>16.240141566999998</v>
      </c>
      <c r="M505" s="711">
        <v>112</v>
      </c>
      <c r="N505" s="711">
        <v>80</v>
      </c>
      <c r="O505" s="712">
        <v>150</v>
      </c>
    </row>
    <row r="506" spans="1:15" s="86" customFormat="1" ht="15" x14ac:dyDescent="0.25">
      <c r="A506" s="1288"/>
      <c r="B506" s="89" t="s">
        <v>844</v>
      </c>
      <c r="C506" s="90">
        <v>131</v>
      </c>
      <c r="D506" s="98">
        <v>0.97458015269999998</v>
      </c>
      <c r="E506" s="98">
        <v>9.3490102699999994E-2</v>
      </c>
      <c r="F506" s="98">
        <v>0.97</v>
      </c>
      <c r="G506" s="98">
        <v>0.56999999999999995</v>
      </c>
      <c r="H506" s="98">
        <v>1.36</v>
      </c>
      <c r="I506" s="98"/>
      <c r="J506" s="718">
        <v>67</v>
      </c>
      <c r="K506" s="98">
        <v>0.92373134329999995</v>
      </c>
      <c r="L506" s="98">
        <v>9.3595451499999996E-2</v>
      </c>
      <c r="M506" s="98">
        <v>0.92</v>
      </c>
      <c r="N506" s="98">
        <v>0.76</v>
      </c>
      <c r="O506" s="99">
        <v>1.23</v>
      </c>
    </row>
    <row r="507" spans="1:15" s="86" customFormat="1" ht="15" x14ac:dyDescent="0.25">
      <c r="A507" s="1286" t="s">
        <v>872</v>
      </c>
      <c r="B507" s="863" t="s">
        <v>837</v>
      </c>
      <c r="C507" s="864">
        <v>6018</v>
      </c>
      <c r="D507" s="857">
        <v>63.780990361999997</v>
      </c>
      <c r="E507" s="857">
        <v>9.0470061700999995</v>
      </c>
      <c r="F507" s="857">
        <v>64</v>
      </c>
      <c r="G507" s="857">
        <v>30</v>
      </c>
      <c r="H507" s="857">
        <v>94</v>
      </c>
      <c r="I507" s="857"/>
      <c r="J507" s="858">
        <v>2089</v>
      </c>
      <c r="K507" s="857">
        <v>66.753470559999997</v>
      </c>
      <c r="L507" s="857">
        <v>9.4506187166999993</v>
      </c>
      <c r="M507" s="857">
        <v>66</v>
      </c>
      <c r="N507" s="857">
        <v>29</v>
      </c>
      <c r="O507" s="710">
        <v>93</v>
      </c>
    </row>
    <row r="508" spans="1:15" s="86" customFormat="1" ht="15" x14ac:dyDescent="0.25">
      <c r="A508" s="1287"/>
      <c r="B508" s="87" t="s">
        <v>838</v>
      </c>
      <c r="C508" s="88">
        <v>5997</v>
      </c>
      <c r="D508" s="711">
        <v>28.768297884999999</v>
      </c>
      <c r="E508" s="711">
        <v>4.6743994930000001</v>
      </c>
      <c r="F508" s="711">
        <v>28.086419753000001</v>
      </c>
      <c r="G508" s="711">
        <v>16.475893166999999</v>
      </c>
      <c r="H508" s="711">
        <v>67.438016528999995</v>
      </c>
      <c r="I508" s="711"/>
      <c r="J508" s="717">
        <v>2084</v>
      </c>
      <c r="K508" s="711">
        <v>28.981716798000001</v>
      </c>
      <c r="L508" s="711">
        <v>5.6539771213999996</v>
      </c>
      <c r="M508" s="711">
        <v>28.228386465</v>
      </c>
      <c r="N508" s="711">
        <v>15.604587023000001</v>
      </c>
      <c r="O508" s="712">
        <v>65.473897973000007</v>
      </c>
    </row>
    <row r="509" spans="1:15" s="86" customFormat="1" ht="15" x14ac:dyDescent="0.25">
      <c r="A509" s="1287"/>
      <c r="B509" s="87" t="s">
        <v>839</v>
      </c>
      <c r="C509" s="88">
        <v>6013</v>
      </c>
      <c r="D509" s="711">
        <v>87.921486779000006</v>
      </c>
      <c r="E509" s="711">
        <v>15.92940067</v>
      </c>
      <c r="F509" s="711">
        <v>85.2</v>
      </c>
      <c r="G509" s="711">
        <v>43.9</v>
      </c>
      <c r="H509" s="711">
        <v>183.6</v>
      </c>
      <c r="I509" s="711"/>
      <c r="J509" s="717">
        <v>2087</v>
      </c>
      <c r="K509" s="711">
        <v>75.217153808999996</v>
      </c>
      <c r="L509" s="711">
        <v>15.379553452</v>
      </c>
      <c r="M509" s="711">
        <v>73.400000000000006</v>
      </c>
      <c r="N509" s="711">
        <v>39</v>
      </c>
      <c r="O509" s="712">
        <v>187</v>
      </c>
    </row>
    <row r="510" spans="1:15" s="86" customFormat="1" ht="15" x14ac:dyDescent="0.25">
      <c r="A510" s="1287"/>
      <c r="B510" s="87" t="s">
        <v>840</v>
      </c>
      <c r="C510" s="88">
        <v>6000</v>
      </c>
      <c r="D510" s="711">
        <v>174.68466667000001</v>
      </c>
      <c r="E510" s="711">
        <v>7.0088814342000001</v>
      </c>
      <c r="F510" s="711">
        <v>175</v>
      </c>
      <c r="G510" s="711">
        <v>132</v>
      </c>
      <c r="H510" s="711">
        <v>213</v>
      </c>
      <c r="I510" s="711"/>
      <c r="J510" s="717">
        <v>2085</v>
      </c>
      <c r="K510" s="711">
        <v>161.07434053</v>
      </c>
      <c r="L510" s="711">
        <v>6.7153345735999999</v>
      </c>
      <c r="M510" s="711">
        <v>161</v>
      </c>
      <c r="N510" s="711">
        <v>125</v>
      </c>
      <c r="O510" s="712">
        <v>186</v>
      </c>
    </row>
    <row r="511" spans="1:15" s="86" customFormat="1" ht="15" x14ac:dyDescent="0.25">
      <c r="A511" s="1287"/>
      <c r="B511" s="87" t="s">
        <v>841</v>
      </c>
      <c r="C511" s="88">
        <v>5948</v>
      </c>
      <c r="D511" s="711">
        <v>103.53816409</v>
      </c>
      <c r="E511" s="711">
        <v>12.191802294</v>
      </c>
      <c r="F511" s="711">
        <v>102</v>
      </c>
      <c r="G511" s="711">
        <v>55</v>
      </c>
      <c r="H511" s="711">
        <v>168</v>
      </c>
      <c r="I511" s="711"/>
      <c r="J511" s="717">
        <v>2062</v>
      </c>
      <c r="K511" s="711">
        <v>97.751697381</v>
      </c>
      <c r="L511" s="711">
        <v>13.82297571</v>
      </c>
      <c r="M511" s="711">
        <v>97</v>
      </c>
      <c r="N511" s="711">
        <v>56</v>
      </c>
      <c r="O511" s="712">
        <v>159</v>
      </c>
    </row>
    <row r="512" spans="1:15" s="86" customFormat="1" ht="15" x14ac:dyDescent="0.25">
      <c r="A512" s="1287"/>
      <c r="B512" s="87" t="s">
        <v>843</v>
      </c>
      <c r="C512" s="88">
        <v>5931</v>
      </c>
      <c r="D512" s="711">
        <v>104.11245996</v>
      </c>
      <c r="E512" s="711">
        <v>10.070192012</v>
      </c>
      <c r="F512" s="711">
        <v>103</v>
      </c>
      <c r="G512" s="711">
        <v>66</v>
      </c>
      <c r="H512" s="711">
        <v>162</v>
      </c>
      <c r="I512" s="711"/>
      <c r="J512" s="717">
        <v>2059</v>
      </c>
      <c r="K512" s="711">
        <v>106.30888781</v>
      </c>
      <c r="L512" s="711">
        <v>13.844856524000001</v>
      </c>
      <c r="M512" s="711">
        <v>105</v>
      </c>
      <c r="N512" s="711">
        <v>60</v>
      </c>
      <c r="O512" s="712">
        <v>210</v>
      </c>
    </row>
    <row r="513" spans="1:15" s="86" customFormat="1" ht="15" x14ac:dyDescent="0.25">
      <c r="A513" s="1288"/>
      <c r="B513" s="89" t="s">
        <v>844</v>
      </c>
      <c r="C513" s="90">
        <v>5930</v>
      </c>
      <c r="D513" s="98">
        <v>0.99530185500000001</v>
      </c>
      <c r="E513" s="98">
        <v>7.6660028300000002E-2</v>
      </c>
      <c r="F513" s="98">
        <v>0.99</v>
      </c>
      <c r="G513" s="98">
        <v>0.63</v>
      </c>
      <c r="H513" s="98">
        <v>1.77</v>
      </c>
      <c r="I513" s="98"/>
      <c r="J513" s="718">
        <v>2059</v>
      </c>
      <c r="K513" s="98">
        <v>0.92369596890000005</v>
      </c>
      <c r="L513" s="98">
        <v>0.1062689386</v>
      </c>
      <c r="M513" s="98">
        <v>0.91</v>
      </c>
      <c r="N513" s="98">
        <v>0.57999999999999996</v>
      </c>
      <c r="O513" s="99">
        <v>1.76</v>
      </c>
    </row>
    <row r="514" spans="1:15" s="86" customFormat="1" ht="15" x14ac:dyDescent="0.25">
      <c r="A514" s="1286" t="s">
        <v>873</v>
      </c>
      <c r="B514" s="855" t="s">
        <v>837</v>
      </c>
      <c r="C514" s="856">
        <v>205</v>
      </c>
      <c r="D514" s="857">
        <v>62.078048780000003</v>
      </c>
      <c r="E514" s="857">
        <v>10.027108163999999</v>
      </c>
      <c r="F514" s="857">
        <v>63</v>
      </c>
      <c r="G514" s="857">
        <v>34</v>
      </c>
      <c r="H514" s="857">
        <v>90</v>
      </c>
      <c r="I514" s="857"/>
      <c r="J514" s="858">
        <v>51</v>
      </c>
      <c r="K514" s="857">
        <v>69.627450980000006</v>
      </c>
      <c r="L514" s="857">
        <v>9.6290410412000007</v>
      </c>
      <c r="M514" s="857">
        <v>70</v>
      </c>
      <c r="N514" s="857">
        <v>43</v>
      </c>
      <c r="O514" s="710">
        <v>86</v>
      </c>
    </row>
    <row r="515" spans="1:15" s="86" customFormat="1" ht="15" x14ac:dyDescent="0.25">
      <c r="A515" s="1287"/>
      <c r="B515" s="87" t="s">
        <v>838</v>
      </c>
      <c r="C515" s="88">
        <v>205</v>
      </c>
      <c r="D515" s="711">
        <v>24.561072557999999</v>
      </c>
      <c r="E515" s="711">
        <v>4.3316960277999996</v>
      </c>
      <c r="F515" s="711">
        <v>24.023808670000001</v>
      </c>
      <c r="G515" s="711">
        <v>14.172335601</v>
      </c>
      <c r="H515" s="711">
        <v>55.555555556000002</v>
      </c>
      <c r="I515" s="711"/>
      <c r="J515" s="717">
        <v>51</v>
      </c>
      <c r="K515" s="711">
        <v>22.764851557</v>
      </c>
      <c r="L515" s="711">
        <v>5.4639168538999998</v>
      </c>
      <c r="M515" s="711">
        <v>22.222222221999999</v>
      </c>
      <c r="N515" s="711">
        <v>14.381985536</v>
      </c>
      <c r="O515" s="712">
        <v>43.496357959999997</v>
      </c>
    </row>
    <row r="516" spans="1:15" s="86" customFormat="1" ht="15" x14ac:dyDescent="0.25">
      <c r="A516" s="1287"/>
      <c r="B516" s="87" t="s">
        <v>839</v>
      </c>
      <c r="C516" s="88">
        <v>205</v>
      </c>
      <c r="D516" s="711">
        <v>67.697560976000005</v>
      </c>
      <c r="E516" s="711">
        <v>12.577335042</v>
      </c>
      <c r="F516" s="711">
        <v>66.5</v>
      </c>
      <c r="G516" s="711">
        <v>40</v>
      </c>
      <c r="H516" s="711">
        <v>117</v>
      </c>
      <c r="I516" s="711"/>
      <c r="J516" s="717">
        <v>51</v>
      </c>
      <c r="K516" s="711">
        <v>51.925490195999998</v>
      </c>
      <c r="L516" s="711">
        <v>13.402191509</v>
      </c>
      <c r="M516" s="711">
        <v>51.6</v>
      </c>
      <c r="N516" s="711">
        <v>29</v>
      </c>
      <c r="O516" s="712">
        <v>104.5</v>
      </c>
    </row>
    <row r="517" spans="1:15" s="86" customFormat="1" ht="15" x14ac:dyDescent="0.25">
      <c r="A517" s="1287"/>
      <c r="B517" s="87" t="s">
        <v>840</v>
      </c>
      <c r="C517" s="88">
        <v>205</v>
      </c>
      <c r="D517" s="711">
        <v>165.91219512000001</v>
      </c>
      <c r="E517" s="711">
        <v>6.7860943140999996</v>
      </c>
      <c r="F517" s="711">
        <v>166</v>
      </c>
      <c r="G517" s="711">
        <v>120</v>
      </c>
      <c r="H517" s="711">
        <v>181</v>
      </c>
      <c r="I517" s="711"/>
      <c r="J517" s="717">
        <v>51</v>
      </c>
      <c r="K517" s="711">
        <v>150.80392157</v>
      </c>
      <c r="L517" s="711">
        <v>7.0342579077999998</v>
      </c>
      <c r="M517" s="711">
        <v>150</v>
      </c>
      <c r="N517" s="711">
        <v>135</v>
      </c>
      <c r="O517" s="712">
        <v>164</v>
      </c>
    </row>
    <row r="518" spans="1:15" s="86" customFormat="1" ht="15" x14ac:dyDescent="0.25">
      <c r="A518" s="1287"/>
      <c r="B518" s="87" t="s">
        <v>841</v>
      </c>
      <c r="C518" s="88">
        <v>205</v>
      </c>
      <c r="D518" s="711">
        <v>90.321951220000003</v>
      </c>
      <c r="E518" s="711">
        <v>9.6219599781999996</v>
      </c>
      <c r="F518" s="711">
        <v>90</v>
      </c>
      <c r="G518" s="711">
        <v>66</v>
      </c>
      <c r="H518" s="711">
        <v>119</v>
      </c>
      <c r="I518" s="711"/>
      <c r="J518" s="717">
        <v>51</v>
      </c>
      <c r="K518" s="711">
        <v>83.529411765000006</v>
      </c>
      <c r="L518" s="711">
        <v>14.955069965</v>
      </c>
      <c r="M518" s="711">
        <v>82</v>
      </c>
      <c r="N518" s="711">
        <v>55</v>
      </c>
      <c r="O518" s="712">
        <v>123</v>
      </c>
    </row>
    <row r="519" spans="1:15" s="86" customFormat="1" ht="15" x14ac:dyDescent="0.25">
      <c r="A519" s="1287"/>
      <c r="B519" s="87" t="s">
        <v>843</v>
      </c>
      <c r="C519" s="88">
        <v>205</v>
      </c>
      <c r="D519" s="711">
        <v>95.146341462999999</v>
      </c>
      <c r="E519" s="711">
        <v>9.4696651275000008</v>
      </c>
      <c r="F519" s="711">
        <v>95</v>
      </c>
      <c r="G519" s="711">
        <v>61</v>
      </c>
      <c r="H519" s="711">
        <v>119</v>
      </c>
      <c r="I519" s="711"/>
      <c r="J519" s="717">
        <v>51</v>
      </c>
      <c r="K519" s="711">
        <v>92.411764706</v>
      </c>
      <c r="L519" s="711">
        <v>12.750178776</v>
      </c>
      <c r="M519" s="711">
        <v>94</v>
      </c>
      <c r="N519" s="711">
        <v>58</v>
      </c>
      <c r="O519" s="712">
        <v>134</v>
      </c>
    </row>
    <row r="520" spans="1:15" s="86" customFormat="1" ht="15" x14ac:dyDescent="0.25">
      <c r="A520" s="1288"/>
      <c r="B520" s="89" t="s">
        <v>844</v>
      </c>
      <c r="C520" s="90">
        <v>205</v>
      </c>
      <c r="D520" s="98">
        <v>0.95273170730000001</v>
      </c>
      <c r="E520" s="98">
        <v>8.71518352E-2</v>
      </c>
      <c r="F520" s="98">
        <v>0.94</v>
      </c>
      <c r="G520" s="98">
        <v>0.78</v>
      </c>
      <c r="H520" s="98">
        <v>1.33</v>
      </c>
      <c r="I520" s="98"/>
      <c r="J520" s="718">
        <v>51</v>
      </c>
      <c r="K520" s="98">
        <v>0.90490196079999996</v>
      </c>
      <c r="L520" s="98">
        <v>0.117343471</v>
      </c>
      <c r="M520" s="98">
        <v>0.89</v>
      </c>
      <c r="N520" s="98">
        <v>0.74</v>
      </c>
      <c r="O520" s="99">
        <v>1.36</v>
      </c>
    </row>
    <row r="521" spans="1:15" s="86" customFormat="1" ht="15" x14ac:dyDescent="0.25">
      <c r="A521" s="1286" t="s">
        <v>874</v>
      </c>
      <c r="B521" s="855" t="s">
        <v>837</v>
      </c>
      <c r="C521" s="856">
        <v>641</v>
      </c>
      <c r="D521" s="857">
        <v>62.379095163999999</v>
      </c>
      <c r="E521" s="857">
        <v>9.0689097913999994</v>
      </c>
      <c r="F521" s="857">
        <v>63</v>
      </c>
      <c r="G521" s="857">
        <v>33</v>
      </c>
      <c r="H521" s="857">
        <v>92</v>
      </c>
      <c r="I521" s="857"/>
      <c r="J521" s="858">
        <v>253</v>
      </c>
      <c r="K521" s="857">
        <v>65.644268775</v>
      </c>
      <c r="L521" s="857">
        <v>10.929424423</v>
      </c>
      <c r="M521" s="857">
        <v>67</v>
      </c>
      <c r="N521" s="857">
        <v>33</v>
      </c>
      <c r="O521" s="710">
        <v>89</v>
      </c>
    </row>
    <row r="522" spans="1:15" s="86" customFormat="1" ht="15" x14ac:dyDescent="0.25">
      <c r="A522" s="1287"/>
      <c r="B522" s="87" t="s">
        <v>838</v>
      </c>
      <c r="C522" s="88">
        <v>639</v>
      </c>
      <c r="D522" s="711">
        <v>27.955357605</v>
      </c>
      <c r="E522" s="711">
        <v>4.9110998523999996</v>
      </c>
      <c r="F522" s="711">
        <v>27.379664684000002</v>
      </c>
      <c r="G522" s="711">
        <v>13.144841270000001</v>
      </c>
      <c r="H522" s="711">
        <v>68.963212936999994</v>
      </c>
      <c r="I522" s="711"/>
      <c r="J522" s="717">
        <v>252</v>
      </c>
      <c r="K522" s="711">
        <v>28.707671231999999</v>
      </c>
      <c r="L522" s="711">
        <v>6.0790046380999998</v>
      </c>
      <c r="M522" s="711">
        <v>27.388367596999998</v>
      </c>
      <c r="N522" s="711">
        <v>18.68921469</v>
      </c>
      <c r="O522" s="712">
        <v>50.955414013000002</v>
      </c>
    </row>
    <row r="523" spans="1:15" s="86" customFormat="1" ht="15" x14ac:dyDescent="0.25">
      <c r="A523" s="1287"/>
      <c r="B523" s="87" t="s">
        <v>839</v>
      </c>
      <c r="C523" s="88">
        <v>639</v>
      </c>
      <c r="D523" s="711">
        <v>79.948200313000001</v>
      </c>
      <c r="E523" s="711">
        <v>16.043019918999999</v>
      </c>
      <c r="F523" s="711">
        <v>78</v>
      </c>
      <c r="G523" s="711">
        <v>37.1</v>
      </c>
      <c r="H523" s="711">
        <v>206.4</v>
      </c>
      <c r="I523" s="711"/>
      <c r="J523" s="717">
        <v>253</v>
      </c>
      <c r="K523" s="711">
        <v>68.705138340000005</v>
      </c>
      <c r="L523" s="711">
        <v>15.815973355000001</v>
      </c>
      <c r="M523" s="711">
        <v>65.5</v>
      </c>
      <c r="N523" s="711">
        <v>40.1</v>
      </c>
      <c r="O523" s="712">
        <v>126</v>
      </c>
    </row>
    <row r="524" spans="1:15" s="86" customFormat="1" ht="15" x14ac:dyDescent="0.25">
      <c r="A524" s="1287"/>
      <c r="B524" s="87" t="s">
        <v>840</v>
      </c>
      <c r="C524" s="88">
        <v>640</v>
      </c>
      <c r="D524" s="711">
        <v>168.87343749999999</v>
      </c>
      <c r="E524" s="711">
        <v>7.1774673976000001</v>
      </c>
      <c r="F524" s="711">
        <v>169</v>
      </c>
      <c r="G524" s="711">
        <v>146</v>
      </c>
      <c r="H524" s="711">
        <v>189</v>
      </c>
      <c r="I524" s="711"/>
      <c r="J524" s="717">
        <v>252</v>
      </c>
      <c r="K524" s="711">
        <v>154.54761905000001</v>
      </c>
      <c r="L524" s="711">
        <v>7.5639184841000002</v>
      </c>
      <c r="M524" s="711">
        <v>154</v>
      </c>
      <c r="N524" s="711">
        <v>122</v>
      </c>
      <c r="O524" s="712">
        <v>173</v>
      </c>
    </row>
    <row r="525" spans="1:15" s="86" customFormat="1" ht="15" x14ac:dyDescent="0.25">
      <c r="A525" s="1287"/>
      <c r="B525" s="87" t="s">
        <v>841</v>
      </c>
      <c r="C525" s="88">
        <v>638</v>
      </c>
      <c r="D525" s="711">
        <v>99.879310344999993</v>
      </c>
      <c r="E525" s="711">
        <v>11.080957041</v>
      </c>
      <c r="F525" s="711">
        <v>99</v>
      </c>
      <c r="G525" s="711">
        <v>61</v>
      </c>
      <c r="H525" s="711">
        <v>160</v>
      </c>
      <c r="I525" s="711"/>
      <c r="J525" s="717">
        <v>251</v>
      </c>
      <c r="K525" s="711">
        <v>97.039840636999998</v>
      </c>
      <c r="L525" s="711">
        <v>13.797623215</v>
      </c>
      <c r="M525" s="711">
        <v>96</v>
      </c>
      <c r="N525" s="711">
        <v>63</v>
      </c>
      <c r="O525" s="712">
        <v>145</v>
      </c>
    </row>
    <row r="526" spans="1:15" s="86" customFormat="1" ht="15" x14ac:dyDescent="0.25">
      <c r="A526" s="1287"/>
      <c r="B526" s="87" t="s">
        <v>843</v>
      </c>
      <c r="C526" s="88">
        <v>633</v>
      </c>
      <c r="D526" s="711">
        <v>100.84044234</v>
      </c>
      <c r="E526" s="711">
        <v>9.2863112709000006</v>
      </c>
      <c r="F526" s="711">
        <v>100</v>
      </c>
      <c r="G526" s="711">
        <v>63</v>
      </c>
      <c r="H526" s="711">
        <v>165</v>
      </c>
      <c r="I526" s="711"/>
      <c r="J526" s="717">
        <v>250</v>
      </c>
      <c r="K526" s="711">
        <v>103.33199999999999</v>
      </c>
      <c r="L526" s="711">
        <v>12.467056026</v>
      </c>
      <c r="M526" s="711">
        <v>102</v>
      </c>
      <c r="N526" s="711">
        <v>79</v>
      </c>
      <c r="O526" s="712">
        <v>148</v>
      </c>
    </row>
    <row r="527" spans="1:15" s="86" customFormat="1" ht="15" x14ac:dyDescent="0.25">
      <c r="A527" s="1288"/>
      <c r="B527" s="89" t="s">
        <v>844</v>
      </c>
      <c r="C527" s="90">
        <v>633</v>
      </c>
      <c r="D527" s="98">
        <v>0.99077409159999996</v>
      </c>
      <c r="E527" s="98">
        <v>6.5587904799999999E-2</v>
      </c>
      <c r="F527" s="98">
        <v>0.98</v>
      </c>
      <c r="G527" s="98">
        <v>0.71</v>
      </c>
      <c r="H527" s="98">
        <v>1.2</v>
      </c>
      <c r="I527" s="98"/>
      <c r="J527" s="718">
        <v>250</v>
      </c>
      <c r="K527" s="98">
        <v>0.94032000000000004</v>
      </c>
      <c r="L527" s="98">
        <v>9.5462821000000003E-2</v>
      </c>
      <c r="M527" s="98">
        <v>0.93</v>
      </c>
      <c r="N527" s="98">
        <v>0.71</v>
      </c>
      <c r="O527" s="99">
        <v>1.36</v>
      </c>
    </row>
    <row r="528" spans="1:15" s="86" customFormat="1" ht="15" x14ac:dyDescent="0.25">
      <c r="A528" s="1286" t="s">
        <v>875</v>
      </c>
      <c r="B528" s="855" t="s">
        <v>837</v>
      </c>
      <c r="C528" s="856">
        <v>100</v>
      </c>
      <c r="D528" s="857">
        <v>57.4</v>
      </c>
      <c r="E528" s="857">
        <v>9.4900266628000001</v>
      </c>
      <c r="F528" s="857">
        <v>58.5</v>
      </c>
      <c r="G528" s="857">
        <v>32</v>
      </c>
      <c r="H528" s="857">
        <v>75</v>
      </c>
      <c r="I528" s="857"/>
      <c r="J528" s="858">
        <v>18</v>
      </c>
      <c r="K528" s="857">
        <v>62.444444443999998</v>
      </c>
      <c r="L528" s="857">
        <v>10.042393798000001</v>
      </c>
      <c r="M528" s="857">
        <v>62.5</v>
      </c>
      <c r="N528" s="857">
        <v>31</v>
      </c>
      <c r="O528" s="710">
        <v>75</v>
      </c>
    </row>
    <row r="529" spans="1:15" s="86" customFormat="1" ht="15" x14ac:dyDescent="0.25">
      <c r="A529" s="1287"/>
      <c r="B529" s="87" t="s">
        <v>838</v>
      </c>
      <c r="C529" s="88">
        <v>99</v>
      </c>
      <c r="D529" s="711">
        <v>25.390677832000002</v>
      </c>
      <c r="E529" s="711">
        <v>4.8521171429000001</v>
      </c>
      <c r="F529" s="711">
        <v>25.390625</v>
      </c>
      <c r="G529" s="711">
        <v>15.055139448</v>
      </c>
      <c r="H529" s="711">
        <v>38.567493112999998</v>
      </c>
      <c r="I529" s="711"/>
      <c r="J529" s="717">
        <v>18</v>
      </c>
      <c r="K529" s="711">
        <v>26.609968115000001</v>
      </c>
      <c r="L529" s="711">
        <v>3.7244668234999998</v>
      </c>
      <c r="M529" s="711">
        <v>26.723108060000001</v>
      </c>
      <c r="N529" s="711">
        <v>17.745844875</v>
      </c>
      <c r="O529" s="712">
        <v>32.882414152000003</v>
      </c>
    </row>
    <row r="530" spans="1:15" s="86" customFormat="1" ht="15" x14ac:dyDescent="0.25">
      <c r="A530" s="1287"/>
      <c r="B530" s="87" t="s">
        <v>839</v>
      </c>
      <c r="C530" s="88">
        <v>99</v>
      </c>
      <c r="D530" s="711">
        <v>70.509090908999994</v>
      </c>
      <c r="E530" s="711">
        <v>14.886139910000001</v>
      </c>
      <c r="F530" s="711">
        <v>71</v>
      </c>
      <c r="G530" s="711">
        <v>40</v>
      </c>
      <c r="H530" s="711">
        <v>111.8</v>
      </c>
      <c r="I530" s="711"/>
      <c r="J530" s="717">
        <v>18</v>
      </c>
      <c r="K530" s="711">
        <v>63.366666666999997</v>
      </c>
      <c r="L530" s="711">
        <v>9.5998161747000008</v>
      </c>
      <c r="M530" s="711">
        <v>63</v>
      </c>
      <c r="N530" s="711">
        <v>41</v>
      </c>
      <c r="O530" s="712">
        <v>82</v>
      </c>
    </row>
    <row r="531" spans="1:15" s="86" customFormat="1" ht="15" x14ac:dyDescent="0.25">
      <c r="A531" s="1287"/>
      <c r="B531" s="87" t="s">
        <v>840</v>
      </c>
      <c r="C531" s="88">
        <v>100</v>
      </c>
      <c r="D531" s="711">
        <v>166.5</v>
      </c>
      <c r="E531" s="711">
        <v>7.6204138385000002</v>
      </c>
      <c r="F531" s="711">
        <v>166</v>
      </c>
      <c r="G531" s="711">
        <v>140</v>
      </c>
      <c r="H531" s="711">
        <v>200</v>
      </c>
      <c r="I531" s="711"/>
      <c r="J531" s="717">
        <v>18</v>
      </c>
      <c r="K531" s="711">
        <v>154.33333332999999</v>
      </c>
      <c r="L531" s="711">
        <v>6.7736513743</v>
      </c>
      <c r="M531" s="711">
        <v>152</v>
      </c>
      <c r="N531" s="711">
        <v>144</v>
      </c>
      <c r="O531" s="712">
        <v>168</v>
      </c>
    </row>
    <row r="532" spans="1:15" s="86" customFormat="1" ht="15" x14ac:dyDescent="0.25">
      <c r="A532" s="1287"/>
      <c r="B532" s="87" t="s">
        <v>841</v>
      </c>
      <c r="C532" s="88">
        <v>100</v>
      </c>
      <c r="D532" s="711">
        <v>95.18</v>
      </c>
      <c r="E532" s="711">
        <v>11.591864092</v>
      </c>
      <c r="F532" s="711">
        <v>94</v>
      </c>
      <c r="G532" s="711">
        <v>66</v>
      </c>
      <c r="H532" s="711">
        <v>129</v>
      </c>
      <c r="I532" s="711"/>
      <c r="J532" s="717">
        <v>18</v>
      </c>
      <c r="K532" s="711">
        <v>97.555555556000002</v>
      </c>
      <c r="L532" s="711">
        <v>8.8731069048000002</v>
      </c>
      <c r="M532" s="711">
        <v>98.5</v>
      </c>
      <c r="N532" s="711">
        <v>84</v>
      </c>
      <c r="O532" s="712">
        <v>115</v>
      </c>
    </row>
    <row r="533" spans="1:15" s="86" customFormat="1" ht="15" x14ac:dyDescent="0.25">
      <c r="A533" s="1287"/>
      <c r="B533" s="87" t="s">
        <v>843</v>
      </c>
      <c r="C533" s="88">
        <v>100</v>
      </c>
      <c r="D533" s="711">
        <v>97.49</v>
      </c>
      <c r="E533" s="711">
        <v>10.664294244000001</v>
      </c>
      <c r="F533" s="711">
        <v>98</v>
      </c>
      <c r="G533" s="711">
        <v>75</v>
      </c>
      <c r="H533" s="711">
        <v>129</v>
      </c>
      <c r="I533" s="711"/>
      <c r="J533" s="717">
        <v>18</v>
      </c>
      <c r="K533" s="711">
        <v>103.77777777999999</v>
      </c>
      <c r="L533" s="711">
        <v>6.5669005631999999</v>
      </c>
      <c r="M533" s="711">
        <v>105.5</v>
      </c>
      <c r="N533" s="711">
        <v>92</v>
      </c>
      <c r="O533" s="712">
        <v>114</v>
      </c>
    </row>
    <row r="534" spans="1:15" s="86" customFormat="1" ht="15" x14ac:dyDescent="0.25">
      <c r="A534" s="1288"/>
      <c r="B534" s="89" t="s">
        <v>844</v>
      </c>
      <c r="C534" s="90">
        <v>100</v>
      </c>
      <c r="D534" s="98">
        <v>0.97740000000000005</v>
      </c>
      <c r="E534" s="98">
        <v>6.5159013000000002E-2</v>
      </c>
      <c r="F534" s="98">
        <v>0.98</v>
      </c>
      <c r="G534" s="98">
        <v>0.65</v>
      </c>
      <c r="H534" s="98">
        <v>1.1499999999999999</v>
      </c>
      <c r="I534" s="98"/>
      <c r="J534" s="718">
        <v>18</v>
      </c>
      <c r="K534" s="98">
        <v>0.94111111110000001</v>
      </c>
      <c r="L534" s="98">
        <v>7.4588194100000005E-2</v>
      </c>
      <c r="M534" s="98">
        <v>0.94</v>
      </c>
      <c r="N534" s="98">
        <v>0.81</v>
      </c>
      <c r="O534" s="99">
        <v>1.0900000000000001</v>
      </c>
    </row>
    <row r="535" spans="1:15" s="86" customFormat="1" ht="15" x14ac:dyDescent="0.25">
      <c r="A535" s="1286" t="s">
        <v>606</v>
      </c>
      <c r="B535" s="855" t="s">
        <v>837</v>
      </c>
      <c r="C535" s="856">
        <v>386</v>
      </c>
      <c r="D535" s="857">
        <v>48.197150259067399</v>
      </c>
      <c r="E535" s="857">
        <v>16.841114414284601</v>
      </c>
      <c r="F535" s="857">
        <v>48.45</v>
      </c>
      <c r="G535" s="857">
        <v>18.100000000000001</v>
      </c>
      <c r="H535" s="857">
        <v>82.3</v>
      </c>
      <c r="I535" s="857"/>
      <c r="J535" s="858">
        <v>556</v>
      </c>
      <c r="K535" s="857">
        <v>48.1922661870504</v>
      </c>
      <c r="L535" s="857">
        <v>15.977280984195501</v>
      </c>
      <c r="M535" s="857">
        <v>48.6</v>
      </c>
      <c r="N535" s="857">
        <v>18</v>
      </c>
      <c r="O535" s="710">
        <v>88.4</v>
      </c>
    </row>
    <row r="536" spans="1:15" s="86" customFormat="1" ht="15" x14ac:dyDescent="0.25">
      <c r="A536" s="1287"/>
      <c r="B536" s="87" t="s">
        <v>838</v>
      </c>
      <c r="C536" s="88">
        <v>384</v>
      </c>
      <c r="D536" s="711">
        <v>27.136979166666698</v>
      </c>
      <c r="E536" s="711">
        <v>4.0124853759877102</v>
      </c>
      <c r="F536" s="711">
        <v>26.7</v>
      </c>
      <c r="G536" s="711">
        <v>17.2</v>
      </c>
      <c r="H536" s="711">
        <v>43.9</v>
      </c>
      <c r="I536" s="711"/>
      <c r="J536" s="717">
        <v>555</v>
      </c>
      <c r="K536" s="711">
        <v>26.934774774774802</v>
      </c>
      <c r="L536" s="711">
        <v>5.6241419476874901</v>
      </c>
      <c r="M536" s="711">
        <v>26</v>
      </c>
      <c r="N536" s="711">
        <v>15.4</v>
      </c>
      <c r="O536" s="712">
        <v>50.3</v>
      </c>
    </row>
    <row r="537" spans="1:15" s="86" customFormat="1" ht="15" x14ac:dyDescent="0.25">
      <c r="A537" s="1287"/>
      <c r="B537" s="87" t="s">
        <v>839</v>
      </c>
      <c r="C537" s="88">
        <v>384</v>
      </c>
      <c r="D537" s="711">
        <v>85.0442708333333</v>
      </c>
      <c r="E537" s="711">
        <v>12.661514991067101</v>
      </c>
      <c r="F537" s="711">
        <v>84</v>
      </c>
      <c r="G537" s="711">
        <v>55</v>
      </c>
      <c r="H537" s="711">
        <v>139</v>
      </c>
      <c r="I537" s="711"/>
      <c r="J537" s="717">
        <v>555</v>
      </c>
      <c r="K537" s="711">
        <v>72.093693693693695</v>
      </c>
      <c r="L537" s="711">
        <v>14.1252218236266</v>
      </c>
      <c r="M537" s="711">
        <v>70</v>
      </c>
      <c r="N537" s="711">
        <v>43</v>
      </c>
      <c r="O537" s="712">
        <v>126</v>
      </c>
    </row>
    <row r="538" spans="1:15" s="86" customFormat="1" ht="15" x14ac:dyDescent="0.25">
      <c r="A538" s="1287"/>
      <c r="B538" s="87" t="s">
        <v>840</v>
      </c>
      <c r="C538" s="88">
        <v>384</v>
      </c>
      <c r="D538" s="711">
        <v>177.154293863281</v>
      </c>
      <c r="E538" s="711">
        <v>6.9957025363528498</v>
      </c>
      <c r="F538" s="711">
        <v>177.5</v>
      </c>
      <c r="G538" s="711">
        <v>158</v>
      </c>
      <c r="H538" s="711">
        <v>195</v>
      </c>
      <c r="I538" s="711"/>
      <c r="J538" s="717">
        <v>555</v>
      </c>
      <c r="K538" s="711">
        <v>163.93837618792799</v>
      </c>
      <c r="L538" s="711">
        <v>6.7722400669275302</v>
      </c>
      <c r="M538" s="711">
        <v>164</v>
      </c>
      <c r="N538" s="711">
        <v>144</v>
      </c>
      <c r="O538" s="712">
        <v>182</v>
      </c>
    </row>
    <row r="539" spans="1:15" s="86" customFormat="1" ht="15" x14ac:dyDescent="0.25">
      <c r="A539" s="1287"/>
      <c r="B539" s="87" t="s">
        <v>841</v>
      </c>
      <c r="C539" s="88">
        <v>385</v>
      </c>
      <c r="D539" s="711">
        <v>96.488311688311697</v>
      </c>
      <c r="E539" s="711">
        <v>12.1050305273991</v>
      </c>
      <c r="F539" s="711">
        <v>97</v>
      </c>
      <c r="G539" s="711">
        <v>72</v>
      </c>
      <c r="H539" s="711">
        <v>137</v>
      </c>
      <c r="I539" s="711"/>
      <c r="J539" s="717">
        <v>555</v>
      </c>
      <c r="K539" s="711">
        <v>87.223423423423398</v>
      </c>
      <c r="L539" s="711">
        <v>14.209259673226599</v>
      </c>
      <c r="M539" s="711">
        <v>86</v>
      </c>
      <c r="N539" s="711">
        <v>59</v>
      </c>
      <c r="O539" s="712">
        <v>139</v>
      </c>
    </row>
    <row r="540" spans="1:15" s="86" customFormat="1" ht="15" x14ac:dyDescent="0.25">
      <c r="A540" s="1287"/>
      <c r="B540" s="87" t="s">
        <v>843</v>
      </c>
      <c r="C540" s="88">
        <v>385</v>
      </c>
      <c r="D540" s="711">
        <v>102.07532467532501</v>
      </c>
      <c r="E540" s="711">
        <v>6.77095812405814</v>
      </c>
      <c r="F540" s="711">
        <v>101</v>
      </c>
      <c r="G540" s="711">
        <v>70</v>
      </c>
      <c r="H540" s="711">
        <v>139</v>
      </c>
      <c r="I540" s="711"/>
      <c r="J540" s="717">
        <v>555</v>
      </c>
      <c r="K540" s="711">
        <v>105.16396396396399</v>
      </c>
      <c r="L540" s="711">
        <v>10.4292423584834</v>
      </c>
      <c r="M540" s="711">
        <v>103</v>
      </c>
      <c r="N540" s="711">
        <v>85</v>
      </c>
      <c r="O540" s="712">
        <v>146</v>
      </c>
    </row>
    <row r="541" spans="1:15" s="86" customFormat="1" ht="15" x14ac:dyDescent="0.25">
      <c r="A541" s="1288"/>
      <c r="B541" s="89" t="s">
        <v>844</v>
      </c>
      <c r="C541" s="90">
        <v>385</v>
      </c>
      <c r="D541" s="98">
        <v>0.94361575021039001</v>
      </c>
      <c r="E541" s="98">
        <v>8.3536388343765505E-2</v>
      </c>
      <c r="F541" s="98">
        <v>0.95098039199999995</v>
      </c>
      <c r="G541" s="98">
        <v>0.72</v>
      </c>
      <c r="H541" s="98">
        <v>1.3</v>
      </c>
      <c r="I541" s="98"/>
      <c r="J541" s="718">
        <v>555</v>
      </c>
      <c r="K541" s="98">
        <v>0.82637201967207197</v>
      </c>
      <c r="L541" s="98">
        <v>7.8619310881620899E-2</v>
      </c>
      <c r="M541" s="98">
        <v>0.82352941199999996</v>
      </c>
      <c r="N541" s="98">
        <v>0.55555555599999995</v>
      </c>
      <c r="O541" s="99">
        <v>1.095238095</v>
      </c>
    </row>
    <row r="542" spans="1:15" s="86" customFormat="1" ht="15" x14ac:dyDescent="0.25">
      <c r="A542" s="1286" t="s">
        <v>876</v>
      </c>
      <c r="B542" s="855" t="s">
        <v>837</v>
      </c>
      <c r="C542" s="856">
        <v>91</v>
      </c>
      <c r="D542" s="857">
        <v>62.076923076999996</v>
      </c>
      <c r="E542" s="857">
        <v>10.617836951999999</v>
      </c>
      <c r="F542" s="857">
        <v>62</v>
      </c>
      <c r="G542" s="857">
        <v>36</v>
      </c>
      <c r="H542" s="857">
        <v>87</v>
      </c>
      <c r="I542" s="857"/>
      <c r="J542" s="858">
        <v>32</v>
      </c>
      <c r="K542" s="857">
        <v>65.09375</v>
      </c>
      <c r="L542" s="857">
        <v>8.8549580607999996</v>
      </c>
      <c r="M542" s="857">
        <v>65</v>
      </c>
      <c r="N542" s="857">
        <v>47</v>
      </c>
      <c r="O542" s="710">
        <v>82</v>
      </c>
    </row>
    <row r="543" spans="1:15" s="86" customFormat="1" ht="15" x14ac:dyDescent="0.25">
      <c r="A543" s="1287"/>
      <c r="B543" s="87" t="s">
        <v>838</v>
      </c>
      <c r="C543" s="88">
        <v>90</v>
      </c>
      <c r="D543" s="711">
        <v>30.819714195</v>
      </c>
      <c r="E543" s="711">
        <v>7.1318738185999999</v>
      </c>
      <c r="F543" s="711">
        <v>29.390489042999999</v>
      </c>
      <c r="G543" s="711">
        <v>19.978538062999998</v>
      </c>
      <c r="H543" s="711">
        <v>61.494541106</v>
      </c>
      <c r="I543" s="711"/>
      <c r="J543" s="717">
        <v>32</v>
      </c>
      <c r="K543" s="711">
        <v>30.751266651000002</v>
      </c>
      <c r="L543" s="711">
        <v>5.4702458623999997</v>
      </c>
      <c r="M543" s="711">
        <v>31.596729442000001</v>
      </c>
      <c r="N543" s="711">
        <v>20.389360678999999</v>
      </c>
      <c r="O543" s="712">
        <v>40.197222326999999</v>
      </c>
    </row>
    <row r="544" spans="1:15" s="86" customFormat="1" ht="15" x14ac:dyDescent="0.25">
      <c r="A544" s="1287"/>
      <c r="B544" s="87" t="s">
        <v>839</v>
      </c>
      <c r="C544" s="88">
        <v>90</v>
      </c>
      <c r="D544" s="711">
        <v>95.096666666999994</v>
      </c>
      <c r="E544" s="711">
        <v>20.947995801000001</v>
      </c>
      <c r="F544" s="711">
        <v>91.5</v>
      </c>
      <c r="G544" s="711">
        <v>59</v>
      </c>
      <c r="H544" s="711">
        <v>159.4</v>
      </c>
      <c r="I544" s="711"/>
      <c r="J544" s="717">
        <v>32</v>
      </c>
      <c r="K544" s="711">
        <v>78.940624999999997</v>
      </c>
      <c r="L544" s="711">
        <v>15.213870143999999</v>
      </c>
      <c r="M544" s="711">
        <v>82.05</v>
      </c>
      <c r="N544" s="711">
        <v>50.9</v>
      </c>
      <c r="O544" s="712">
        <v>106.8</v>
      </c>
    </row>
    <row r="545" spans="1:15" s="86" customFormat="1" ht="15" x14ac:dyDescent="0.25">
      <c r="A545" s="1287"/>
      <c r="B545" s="87" t="s">
        <v>840</v>
      </c>
      <c r="C545" s="88">
        <v>91</v>
      </c>
      <c r="D545" s="711">
        <v>176.04395604000001</v>
      </c>
      <c r="E545" s="711">
        <v>8.4431590821999993</v>
      </c>
      <c r="F545" s="711">
        <v>175</v>
      </c>
      <c r="G545" s="711">
        <v>152</v>
      </c>
      <c r="H545" s="711">
        <v>198</v>
      </c>
      <c r="I545" s="711"/>
      <c r="J545" s="717">
        <v>32</v>
      </c>
      <c r="K545" s="711">
        <v>160.125</v>
      </c>
      <c r="L545" s="711">
        <v>6.3181765437999999</v>
      </c>
      <c r="M545" s="711">
        <v>162</v>
      </c>
      <c r="N545" s="711">
        <v>141</v>
      </c>
      <c r="O545" s="712">
        <v>170</v>
      </c>
    </row>
    <row r="546" spans="1:15" s="86" customFormat="1" ht="15" x14ac:dyDescent="0.25">
      <c r="A546" s="1287"/>
      <c r="B546" s="87" t="s">
        <v>841</v>
      </c>
      <c r="C546" s="88">
        <v>89</v>
      </c>
      <c r="D546" s="711">
        <v>104.97011236</v>
      </c>
      <c r="E546" s="711">
        <v>14.623624448999999</v>
      </c>
      <c r="F546" s="711">
        <v>101.6</v>
      </c>
      <c r="G546" s="711">
        <v>77</v>
      </c>
      <c r="H546" s="711">
        <v>162</v>
      </c>
      <c r="I546" s="711"/>
      <c r="J546" s="717">
        <v>31</v>
      </c>
      <c r="K546" s="711">
        <v>99.920645160999996</v>
      </c>
      <c r="L546" s="711">
        <v>13.426111607999999</v>
      </c>
      <c r="M546" s="711">
        <v>101.6</v>
      </c>
      <c r="N546" s="711">
        <v>71.099999999999994</v>
      </c>
      <c r="O546" s="712">
        <v>128</v>
      </c>
    </row>
    <row r="547" spans="1:15" s="86" customFormat="1" ht="15" x14ac:dyDescent="0.25">
      <c r="A547" s="1287"/>
      <c r="B547" s="87" t="s">
        <v>843</v>
      </c>
      <c r="C547" s="88">
        <v>89</v>
      </c>
      <c r="D547" s="711">
        <v>107.39382021999999</v>
      </c>
      <c r="E547" s="711">
        <v>12.962271082000001</v>
      </c>
      <c r="F547" s="711">
        <v>105</v>
      </c>
      <c r="G547" s="711">
        <v>83.8</v>
      </c>
      <c r="H547" s="711">
        <v>165</v>
      </c>
      <c r="I547" s="711"/>
      <c r="J547" s="717">
        <v>31</v>
      </c>
      <c r="K547" s="711">
        <v>105.74064516</v>
      </c>
      <c r="L547" s="711">
        <v>14.854729198999999</v>
      </c>
      <c r="M547" s="711">
        <v>108.5</v>
      </c>
      <c r="N547" s="711">
        <v>72</v>
      </c>
      <c r="O547" s="712">
        <v>132.5</v>
      </c>
    </row>
    <row r="548" spans="1:15" s="86" customFormat="1" ht="15" x14ac:dyDescent="0.25">
      <c r="A548" s="1288"/>
      <c r="B548" s="89" t="s">
        <v>844</v>
      </c>
      <c r="C548" s="90">
        <v>89</v>
      </c>
      <c r="D548" s="98">
        <v>0.97820224720000004</v>
      </c>
      <c r="E548" s="98">
        <v>7.4872039299999998E-2</v>
      </c>
      <c r="F548" s="98">
        <v>0.97</v>
      </c>
      <c r="G548" s="98">
        <v>0.82</v>
      </c>
      <c r="H548" s="98">
        <v>1.22</v>
      </c>
      <c r="I548" s="98"/>
      <c r="J548" s="718">
        <v>31</v>
      </c>
      <c r="K548" s="98">
        <v>0.95032258059999997</v>
      </c>
      <c r="L548" s="98">
        <v>0.10808897169999999</v>
      </c>
      <c r="M548" s="98">
        <v>0.95</v>
      </c>
      <c r="N548" s="98">
        <v>0.8</v>
      </c>
      <c r="O548" s="99">
        <v>1.33</v>
      </c>
    </row>
    <row r="549" spans="1:15" s="86" customFormat="1" ht="15" x14ac:dyDescent="0.25">
      <c r="A549" s="1286" t="s">
        <v>877</v>
      </c>
      <c r="B549" s="855" t="s">
        <v>837</v>
      </c>
      <c r="C549" s="856">
        <v>7221</v>
      </c>
      <c r="D549" s="857">
        <v>64.463924664000004</v>
      </c>
      <c r="E549" s="857">
        <v>9.0990536506000002</v>
      </c>
      <c r="F549" s="857">
        <v>65</v>
      </c>
      <c r="G549" s="857">
        <v>29</v>
      </c>
      <c r="H549" s="857">
        <v>92</v>
      </c>
      <c r="I549" s="857"/>
      <c r="J549" s="858">
        <v>1568</v>
      </c>
      <c r="K549" s="857">
        <v>66.126913264999999</v>
      </c>
      <c r="L549" s="857">
        <v>8.6146957540999995</v>
      </c>
      <c r="M549" s="857">
        <v>67</v>
      </c>
      <c r="N549" s="857">
        <v>31</v>
      </c>
      <c r="O549" s="710">
        <v>87</v>
      </c>
    </row>
    <row r="550" spans="1:15" s="86" customFormat="1" ht="15" x14ac:dyDescent="0.25">
      <c r="A550" s="1287"/>
      <c r="B550" s="87" t="s">
        <v>838</v>
      </c>
      <c r="C550" s="88">
        <v>7211</v>
      </c>
      <c r="D550" s="711">
        <v>29.831150749999999</v>
      </c>
      <c r="E550" s="711">
        <v>4.8440474377999996</v>
      </c>
      <c r="F550" s="711">
        <v>29.123345936</v>
      </c>
      <c r="G550" s="711">
        <v>16.505190311</v>
      </c>
      <c r="H550" s="711">
        <v>57.823129252000001</v>
      </c>
      <c r="I550" s="711"/>
      <c r="J550" s="717">
        <v>1565</v>
      </c>
      <c r="K550" s="711">
        <v>30.269758159999999</v>
      </c>
      <c r="L550" s="711">
        <v>5.6547534839000004</v>
      </c>
      <c r="M550" s="711">
        <v>29.757785467000001</v>
      </c>
      <c r="N550" s="711">
        <v>17.577068686</v>
      </c>
      <c r="O550" s="712">
        <v>60.448699744000002</v>
      </c>
    </row>
    <row r="551" spans="1:15" s="86" customFormat="1" ht="15" x14ac:dyDescent="0.25">
      <c r="A551" s="1287"/>
      <c r="B551" s="87" t="s">
        <v>839</v>
      </c>
      <c r="C551" s="88">
        <v>7214</v>
      </c>
      <c r="D551" s="711">
        <v>90.396894927000005</v>
      </c>
      <c r="E551" s="711">
        <v>16.197769607000001</v>
      </c>
      <c r="F551" s="711">
        <v>88.6</v>
      </c>
      <c r="G551" s="711">
        <v>46</v>
      </c>
      <c r="H551" s="711">
        <v>180.9</v>
      </c>
      <c r="I551" s="711"/>
      <c r="J551" s="717">
        <v>1565</v>
      </c>
      <c r="K551" s="711">
        <v>77.909776358000002</v>
      </c>
      <c r="L551" s="711">
        <v>15.583611638000001</v>
      </c>
      <c r="M551" s="711">
        <v>76.3</v>
      </c>
      <c r="N551" s="711">
        <v>39.6</v>
      </c>
      <c r="O551" s="712">
        <v>149</v>
      </c>
    </row>
    <row r="552" spans="1:15" s="86" customFormat="1" ht="15" x14ac:dyDescent="0.25">
      <c r="A552" s="1287"/>
      <c r="B552" s="87" t="s">
        <v>840</v>
      </c>
      <c r="C552" s="88">
        <v>7216</v>
      </c>
      <c r="D552" s="711">
        <v>173.96216741000001</v>
      </c>
      <c r="E552" s="711">
        <v>7.0057957563000004</v>
      </c>
      <c r="F552" s="711">
        <v>174</v>
      </c>
      <c r="G552" s="711">
        <v>142</v>
      </c>
      <c r="H552" s="711">
        <v>203</v>
      </c>
      <c r="I552" s="711"/>
      <c r="J552" s="717">
        <v>1565</v>
      </c>
      <c r="K552" s="711">
        <v>160.36485622999999</v>
      </c>
      <c r="L552" s="711">
        <v>6.3024102833000004</v>
      </c>
      <c r="M552" s="711">
        <v>160</v>
      </c>
      <c r="N552" s="711">
        <v>135</v>
      </c>
      <c r="O552" s="712">
        <v>185</v>
      </c>
    </row>
    <row r="553" spans="1:15" s="86" customFormat="1" ht="15" x14ac:dyDescent="0.25">
      <c r="A553" s="1287"/>
      <c r="B553" s="87" t="s">
        <v>841</v>
      </c>
      <c r="C553" s="88">
        <v>7145</v>
      </c>
      <c r="D553" s="711">
        <v>105.01476697</v>
      </c>
      <c r="E553" s="711">
        <v>12.408531842</v>
      </c>
      <c r="F553" s="711">
        <v>104</v>
      </c>
      <c r="G553" s="711">
        <v>51</v>
      </c>
      <c r="H553" s="711">
        <v>186.5</v>
      </c>
      <c r="I553" s="711"/>
      <c r="J553" s="717">
        <v>1556</v>
      </c>
      <c r="K553" s="711">
        <v>99.047037274999994</v>
      </c>
      <c r="L553" s="711">
        <v>14.322454492</v>
      </c>
      <c r="M553" s="711">
        <v>99</v>
      </c>
      <c r="N553" s="711">
        <v>63</v>
      </c>
      <c r="O553" s="712">
        <v>147</v>
      </c>
    </row>
    <row r="554" spans="1:15" s="86" customFormat="1" ht="15" x14ac:dyDescent="0.25">
      <c r="A554" s="1287"/>
      <c r="B554" s="87" t="s">
        <v>843</v>
      </c>
      <c r="C554" s="88">
        <v>7125</v>
      </c>
      <c r="D554" s="711">
        <v>106.12017684</v>
      </c>
      <c r="E554" s="711">
        <v>10.42727427</v>
      </c>
      <c r="F554" s="711">
        <v>105</v>
      </c>
      <c r="G554" s="711">
        <v>61</v>
      </c>
      <c r="H554" s="711">
        <v>190.5</v>
      </c>
      <c r="I554" s="711"/>
      <c r="J554" s="717">
        <v>1553</v>
      </c>
      <c r="K554" s="711">
        <v>108.70878944</v>
      </c>
      <c r="L554" s="711">
        <v>13.280819456</v>
      </c>
      <c r="M554" s="711">
        <v>108</v>
      </c>
      <c r="N554" s="711">
        <v>70</v>
      </c>
      <c r="O554" s="712">
        <v>160</v>
      </c>
    </row>
    <row r="555" spans="1:15" s="86" customFormat="1" ht="15" x14ac:dyDescent="0.25">
      <c r="A555" s="1288"/>
      <c r="B555" s="89" t="s">
        <v>844</v>
      </c>
      <c r="C555" s="90">
        <v>7123</v>
      </c>
      <c r="D555" s="98">
        <v>0.9896897375</v>
      </c>
      <c r="E555" s="98">
        <v>6.7275596899999998E-2</v>
      </c>
      <c r="F555" s="98">
        <v>0.99</v>
      </c>
      <c r="G555" s="98">
        <v>0.56999999999999995</v>
      </c>
      <c r="H555" s="98">
        <v>1.41</v>
      </c>
      <c r="I555" s="98"/>
      <c r="J555" s="718">
        <v>1553</v>
      </c>
      <c r="K555" s="98">
        <v>0.91291693500000004</v>
      </c>
      <c r="L555" s="98">
        <v>9.3739213399999993E-2</v>
      </c>
      <c r="M555" s="98">
        <v>0.91</v>
      </c>
      <c r="N555" s="98">
        <v>0.66</v>
      </c>
      <c r="O555" s="99">
        <v>1.32</v>
      </c>
    </row>
    <row r="556" spans="1:15" s="86" customFormat="1" ht="15" x14ac:dyDescent="0.25">
      <c r="A556" s="1286" t="s">
        <v>878</v>
      </c>
      <c r="B556" s="855" t="s">
        <v>837</v>
      </c>
      <c r="C556" s="856">
        <v>562</v>
      </c>
      <c r="D556" s="857">
        <v>62.357651246000003</v>
      </c>
      <c r="E556" s="857">
        <v>9.6610204267000004</v>
      </c>
      <c r="F556" s="857">
        <v>63</v>
      </c>
      <c r="G556" s="857">
        <v>36</v>
      </c>
      <c r="H556" s="857">
        <v>86</v>
      </c>
      <c r="I556" s="857"/>
      <c r="J556" s="858">
        <v>162</v>
      </c>
      <c r="K556" s="857">
        <v>66.845679012000005</v>
      </c>
      <c r="L556" s="857">
        <v>7.6698741052999999</v>
      </c>
      <c r="M556" s="857">
        <v>67</v>
      </c>
      <c r="N556" s="857">
        <v>48</v>
      </c>
      <c r="O556" s="710">
        <v>88</v>
      </c>
    </row>
    <row r="557" spans="1:15" s="86" customFormat="1" ht="15" x14ac:dyDescent="0.25">
      <c r="A557" s="1287"/>
      <c r="B557" s="87" t="s">
        <v>838</v>
      </c>
      <c r="C557" s="88">
        <v>562</v>
      </c>
      <c r="D557" s="711">
        <v>25.417035211000002</v>
      </c>
      <c r="E557" s="711">
        <v>3.1095590675999998</v>
      </c>
      <c r="F557" s="711">
        <v>25.197428834</v>
      </c>
      <c r="G557" s="711">
        <v>12.855831038</v>
      </c>
      <c r="H557" s="711">
        <v>36.198750191000002</v>
      </c>
      <c r="I557" s="711"/>
      <c r="J557" s="717">
        <v>162</v>
      </c>
      <c r="K557" s="711">
        <v>25.334479019</v>
      </c>
      <c r="L557" s="711">
        <v>3.6527248103000001</v>
      </c>
      <c r="M557" s="711">
        <v>25.316354641</v>
      </c>
      <c r="N557" s="711">
        <v>16.588866169999999</v>
      </c>
      <c r="O557" s="712">
        <v>39.627465303000001</v>
      </c>
    </row>
    <row r="558" spans="1:15" s="86" customFormat="1" ht="15" x14ac:dyDescent="0.25">
      <c r="A558" s="1287"/>
      <c r="B558" s="87" t="s">
        <v>839</v>
      </c>
      <c r="C558" s="88">
        <v>562</v>
      </c>
      <c r="D558" s="711">
        <v>70.744661922000006</v>
      </c>
      <c r="E558" s="711">
        <v>10.722607515</v>
      </c>
      <c r="F558" s="711">
        <v>70</v>
      </c>
      <c r="G558" s="711">
        <v>35</v>
      </c>
      <c r="H558" s="711">
        <v>113</v>
      </c>
      <c r="I558" s="711"/>
      <c r="J558" s="717">
        <v>162</v>
      </c>
      <c r="K558" s="711">
        <v>59.029629630000002</v>
      </c>
      <c r="L558" s="711">
        <v>9.0260072054999991</v>
      </c>
      <c r="M558" s="711">
        <v>58.45</v>
      </c>
      <c r="N558" s="711">
        <v>35</v>
      </c>
      <c r="O558" s="712">
        <v>87.9</v>
      </c>
    </row>
    <row r="559" spans="1:15" s="86" customFormat="1" ht="15" x14ac:dyDescent="0.25">
      <c r="A559" s="1287"/>
      <c r="B559" s="87" t="s">
        <v>840</v>
      </c>
      <c r="C559" s="88">
        <v>562</v>
      </c>
      <c r="D559" s="711">
        <v>166.62811388</v>
      </c>
      <c r="E559" s="711">
        <v>6.1050336907</v>
      </c>
      <c r="F559" s="711">
        <v>167</v>
      </c>
      <c r="G559" s="711">
        <v>148</v>
      </c>
      <c r="H559" s="711">
        <v>190</v>
      </c>
      <c r="I559" s="711"/>
      <c r="J559" s="717">
        <v>162</v>
      </c>
      <c r="K559" s="711">
        <v>152.62962963000001</v>
      </c>
      <c r="L559" s="711">
        <v>5.3705996158999998</v>
      </c>
      <c r="M559" s="711">
        <v>152</v>
      </c>
      <c r="N559" s="711">
        <v>136</v>
      </c>
      <c r="O559" s="712">
        <v>169</v>
      </c>
    </row>
    <row r="560" spans="1:15" s="86" customFormat="1" ht="15" x14ac:dyDescent="0.25">
      <c r="A560" s="1287"/>
      <c r="B560" s="87" t="s">
        <v>841</v>
      </c>
      <c r="C560" s="88">
        <v>562</v>
      </c>
      <c r="D560" s="711">
        <v>92.277188612000003</v>
      </c>
      <c r="E560" s="711">
        <v>8.3275285763000007</v>
      </c>
      <c r="F560" s="711">
        <v>92</v>
      </c>
      <c r="G560" s="711">
        <v>61</v>
      </c>
      <c r="H560" s="711">
        <v>126</v>
      </c>
      <c r="I560" s="711"/>
      <c r="J560" s="717">
        <v>162</v>
      </c>
      <c r="K560" s="711">
        <v>87.829197531000005</v>
      </c>
      <c r="L560" s="711">
        <v>9.2772066888999998</v>
      </c>
      <c r="M560" s="711">
        <v>87</v>
      </c>
      <c r="N560" s="711">
        <v>62.23</v>
      </c>
      <c r="O560" s="712">
        <v>120</v>
      </c>
    </row>
    <row r="561" spans="1:15" s="86" customFormat="1" ht="15" x14ac:dyDescent="0.25">
      <c r="A561" s="1287"/>
      <c r="B561" s="87" t="s">
        <v>843</v>
      </c>
      <c r="C561" s="88">
        <v>562</v>
      </c>
      <c r="D561" s="711">
        <v>99.144483985999997</v>
      </c>
      <c r="E561" s="711">
        <v>7.2650818114</v>
      </c>
      <c r="F561" s="711">
        <v>99</v>
      </c>
      <c r="G561" s="711">
        <v>73</v>
      </c>
      <c r="H561" s="711">
        <v>127</v>
      </c>
      <c r="I561" s="711"/>
      <c r="J561" s="717">
        <v>162</v>
      </c>
      <c r="K561" s="711">
        <v>97.425864197999999</v>
      </c>
      <c r="L561" s="711">
        <v>8.1041902086000004</v>
      </c>
      <c r="M561" s="711">
        <v>97.75</v>
      </c>
      <c r="N561" s="711">
        <v>78</v>
      </c>
      <c r="O561" s="712">
        <v>135</v>
      </c>
    </row>
    <row r="562" spans="1:15" s="86" customFormat="1" ht="15" x14ac:dyDescent="0.25">
      <c r="A562" s="1288"/>
      <c r="B562" s="89" t="s">
        <v>844</v>
      </c>
      <c r="C562" s="90">
        <v>562</v>
      </c>
      <c r="D562" s="98">
        <v>0.93129893239999995</v>
      </c>
      <c r="E562" s="98">
        <v>5.7906922999999999E-2</v>
      </c>
      <c r="F562" s="98">
        <v>0.92</v>
      </c>
      <c r="G562" s="98">
        <v>0.78</v>
      </c>
      <c r="H562" s="98">
        <v>1.25</v>
      </c>
      <c r="I562" s="98"/>
      <c r="J562" s="718">
        <v>162</v>
      </c>
      <c r="K562" s="98">
        <v>0.90253086419999995</v>
      </c>
      <c r="L562" s="98">
        <v>7.0104728500000005E-2</v>
      </c>
      <c r="M562" s="98">
        <v>0.9</v>
      </c>
      <c r="N562" s="98">
        <v>0.7</v>
      </c>
      <c r="O562" s="99">
        <v>1.28</v>
      </c>
    </row>
    <row r="563" spans="1:15" s="86" customFormat="1" ht="15" x14ac:dyDescent="0.25">
      <c r="A563" s="1286" t="s">
        <v>879</v>
      </c>
      <c r="B563" s="855" t="s">
        <v>837</v>
      </c>
      <c r="C563" s="856">
        <v>427</v>
      </c>
      <c r="D563" s="857">
        <v>64.601873535999999</v>
      </c>
      <c r="E563" s="857">
        <v>9.0639768994000001</v>
      </c>
      <c r="F563" s="857">
        <v>65</v>
      </c>
      <c r="G563" s="857">
        <v>36</v>
      </c>
      <c r="H563" s="857">
        <v>84</v>
      </c>
      <c r="I563" s="857"/>
      <c r="J563" s="858">
        <v>91</v>
      </c>
      <c r="K563" s="857">
        <v>66.197802198000005</v>
      </c>
      <c r="L563" s="857">
        <v>8.7777746866000008</v>
      </c>
      <c r="M563" s="857">
        <v>67</v>
      </c>
      <c r="N563" s="857">
        <v>40</v>
      </c>
      <c r="O563" s="710">
        <v>86</v>
      </c>
    </row>
    <row r="564" spans="1:15" s="86" customFormat="1" ht="15" x14ac:dyDescent="0.25">
      <c r="A564" s="1287"/>
      <c r="B564" s="87" t="s">
        <v>838</v>
      </c>
      <c r="C564" s="88">
        <v>426</v>
      </c>
      <c r="D564" s="711">
        <v>28.778407612999999</v>
      </c>
      <c r="E564" s="711">
        <v>3.9730891120999998</v>
      </c>
      <c r="F564" s="711">
        <v>28.386121549999999</v>
      </c>
      <c r="G564" s="711">
        <v>18.226245794</v>
      </c>
      <c r="H564" s="711">
        <v>42.700588252999999</v>
      </c>
      <c r="I564" s="711"/>
      <c r="J564" s="717">
        <v>90</v>
      </c>
      <c r="K564" s="711">
        <v>29.695909394000001</v>
      </c>
      <c r="L564" s="711">
        <v>5.2961267128999996</v>
      </c>
      <c r="M564" s="711">
        <v>29.471946075999998</v>
      </c>
      <c r="N564" s="711">
        <v>19.979188345000001</v>
      </c>
      <c r="O564" s="712">
        <v>50.144022069999998</v>
      </c>
    </row>
    <row r="565" spans="1:15" s="86" customFormat="1" ht="15" x14ac:dyDescent="0.25">
      <c r="A565" s="1287"/>
      <c r="B565" s="87" t="s">
        <v>839</v>
      </c>
      <c r="C565" s="88">
        <v>427</v>
      </c>
      <c r="D565" s="711">
        <v>81.250819672000006</v>
      </c>
      <c r="E565" s="711">
        <v>14.135450325000001</v>
      </c>
      <c r="F565" s="711">
        <v>79.400000000000006</v>
      </c>
      <c r="G565" s="711">
        <v>45.5</v>
      </c>
      <c r="H565" s="711">
        <v>143</v>
      </c>
      <c r="I565" s="711"/>
      <c r="J565" s="717">
        <v>90</v>
      </c>
      <c r="K565" s="711">
        <v>71.823333332999994</v>
      </c>
      <c r="L565" s="711">
        <v>14.666364868</v>
      </c>
      <c r="M565" s="711">
        <v>70.849999999999994</v>
      </c>
      <c r="N565" s="711">
        <v>42.3</v>
      </c>
      <c r="O565" s="712">
        <v>123.6</v>
      </c>
    </row>
    <row r="566" spans="1:15" s="86" customFormat="1" ht="15" x14ac:dyDescent="0.25">
      <c r="A566" s="1287"/>
      <c r="B566" s="87" t="s">
        <v>840</v>
      </c>
      <c r="C566" s="88">
        <v>426</v>
      </c>
      <c r="D566" s="711">
        <v>167.74647887</v>
      </c>
      <c r="E566" s="711">
        <v>7.3875283963999996</v>
      </c>
      <c r="F566" s="711">
        <v>167</v>
      </c>
      <c r="G566" s="711">
        <v>149</v>
      </c>
      <c r="H566" s="711">
        <v>198</v>
      </c>
      <c r="I566" s="711"/>
      <c r="J566" s="717">
        <v>90</v>
      </c>
      <c r="K566" s="711">
        <v>155.26666667000001</v>
      </c>
      <c r="L566" s="711">
        <v>7.0484678388999997</v>
      </c>
      <c r="M566" s="711">
        <v>156</v>
      </c>
      <c r="N566" s="711">
        <v>138</v>
      </c>
      <c r="O566" s="712">
        <v>178</v>
      </c>
    </row>
    <row r="567" spans="1:15" s="86" customFormat="1" ht="15" x14ac:dyDescent="0.25">
      <c r="A567" s="1287"/>
      <c r="B567" s="87" t="s">
        <v>841</v>
      </c>
      <c r="C567" s="88">
        <v>422</v>
      </c>
      <c r="D567" s="711">
        <v>101.29421800999999</v>
      </c>
      <c r="E567" s="711">
        <v>10.860623344</v>
      </c>
      <c r="F567" s="711">
        <v>100.75</v>
      </c>
      <c r="G567" s="711">
        <v>69</v>
      </c>
      <c r="H567" s="711">
        <v>152</v>
      </c>
      <c r="I567" s="711"/>
      <c r="J567" s="717">
        <v>89</v>
      </c>
      <c r="K567" s="711">
        <v>98.556516853999995</v>
      </c>
      <c r="L567" s="711">
        <v>14.127527859000001</v>
      </c>
      <c r="M567" s="711">
        <v>100</v>
      </c>
      <c r="N567" s="711">
        <v>69</v>
      </c>
      <c r="O567" s="712">
        <v>142.19999999999999</v>
      </c>
    </row>
    <row r="568" spans="1:15" s="86" customFormat="1" ht="15" x14ac:dyDescent="0.25">
      <c r="A568" s="1287"/>
      <c r="B568" s="87" t="s">
        <v>843</v>
      </c>
      <c r="C568" s="88">
        <v>422</v>
      </c>
      <c r="D568" s="711">
        <v>103.11547392999999</v>
      </c>
      <c r="E568" s="711">
        <v>9.3944874490999997</v>
      </c>
      <c r="F568" s="711">
        <v>102</v>
      </c>
      <c r="G568" s="711">
        <v>80</v>
      </c>
      <c r="H568" s="711">
        <v>150</v>
      </c>
      <c r="I568" s="711"/>
      <c r="J568" s="717">
        <v>89</v>
      </c>
      <c r="K568" s="711">
        <v>105.31573034</v>
      </c>
      <c r="L568" s="711">
        <v>12.372877769</v>
      </c>
      <c r="M568" s="711">
        <v>104</v>
      </c>
      <c r="N568" s="711">
        <v>70</v>
      </c>
      <c r="O568" s="712">
        <v>144</v>
      </c>
    </row>
    <row r="569" spans="1:15" s="86" customFormat="1" ht="15" x14ac:dyDescent="0.25">
      <c r="A569" s="1288"/>
      <c r="B569" s="89" t="s">
        <v>844</v>
      </c>
      <c r="C569" s="90">
        <v>422</v>
      </c>
      <c r="D569" s="98">
        <v>0.98236966820000005</v>
      </c>
      <c r="E569" s="98">
        <v>5.9187498099999999E-2</v>
      </c>
      <c r="F569" s="98">
        <v>0.98</v>
      </c>
      <c r="G569" s="98">
        <v>0.65</v>
      </c>
      <c r="H569" s="98">
        <v>1.2</v>
      </c>
      <c r="I569" s="98"/>
      <c r="J569" s="718">
        <v>89</v>
      </c>
      <c r="K569" s="98">
        <v>0.93808988760000001</v>
      </c>
      <c r="L569" s="98">
        <v>0.1053767743</v>
      </c>
      <c r="M569" s="98">
        <v>0.93</v>
      </c>
      <c r="N569" s="98">
        <v>0.76</v>
      </c>
      <c r="O569" s="99">
        <v>1.38</v>
      </c>
    </row>
    <row r="570" spans="1:15" s="86" customFormat="1" ht="15" x14ac:dyDescent="0.25">
      <c r="A570" s="1286" t="s">
        <v>880</v>
      </c>
      <c r="B570" s="855" t="s">
        <v>837</v>
      </c>
      <c r="C570" s="856">
        <v>331</v>
      </c>
      <c r="D570" s="857">
        <v>56.888217523000002</v>
      </c>
      <c r="E570" s="857">
        <v>10.251809012000001</v>
      </c>
      <c r="F570" s="857">
        <v>57</v>
      </c>
      <c r="G570" s="857">
        <v>26</v>
      </c>
      <c r="H570" s="857">
        <v>81</v>
      </c>
      <c r="I570" s="857"/>
      <c r="J570" s="858">
        <v>49</v>
      </c>
      <c r="K570" s="857">
        <v>59.102040815999999</v>
      </c>
      <c r="L570" s="857">
        <v>10.079361955</v>
      </c>
      <c r="M570" s="857">
        <v>60</v>
      </c>
      <c r="N570" s="857">
        <v>36</v>
      </c>
      <c r="O570" s="710">
        <v>78</v>
      </c>
    </row>
    <row r="571" spans="1:15" s="86" customFormat="1" ht="15" x14ac:dyDescent="0.25">
      <c r="A571" s="1287"/>
      <c r="B571" s="87" t="s">
        <v>838</v>
      </c>
      <c r="C571" s="88">
        <v>331</v>
      </c>
      <c r="D571" s="711">
        <v>25.146142517000001</v>
      </c>
      <c r="E571" s="711">
        <v>3.7937559259999998</v>
      </c>
      <c r="F571" s="711">
        <v>24.977043159000001</v>
      </c>
      <c r="G571" s="711">
        <v>15.916955016999999</v>
      </c>
      <c r="H571" s="711">
        <v>40.123456789999999</v>
      </c>
      <c r="I571" s="711"/>
      <c r="J571" s="717">
        <v>49</v>
      </c>
      <c r="K571" s="711">
        <v>27.964459617999999</v>
      </c>
      <c r="L571" s="711">
        <v>4.9321681637000001</v>
      </c>
      <c r="M571" s="711">
        <v>27.392257122</v>
      </c>
      <c r="N571" s="711">
        <v>17.630853993999999</v>
      </c>
      <c r="O571" s="712">
        <v>38.805697588999998</v>
      </c>
    </row>
    <row r="572" spans="1:15" s="86" customFormat="1" ht="15" x14ac:dyDescent="0.25">
      <c r="A572" s="1287"/>
      <c r="B572" s="87" t="s">
        <v>839</v>
      </c>
      <c r="C572" s="88">
        <v>331</v>
      </c>
      <c r="D572" s="711">
        <v>70.832628399000001</v>
      </c>
      <c r="E572" s="711">
        <v>12.301846081000001</v>
      </c>
      <c r="F572" s="711">
        <v>70</v>
      </c>
      <c r="G572" s="711">
        <v>44</v>
      </c>
      <c r="H572" s="711">
        <v>130</v>
      </c>
      <c r="I572" s="711"/>
      <c r="J572" s="717">
        <v>49</v>
      </c>
      <c r="K572" s="711">
        <v>64.106122448999997</v>
      </c>
      <c r="L572" s="711">
        <v>10.399286997999999</v>
      </c>
      <c r="M572" s="711">
        <v>63.5</v>
      </c>
      <c r="N572" s="711">
        <v>40</v>
      </c>
      <c r="O572" s="712">
        <v>85</v>
      </c>
    </row>
    <row r="573" spans="1:15" s="86" customFormat="1" ht="15" x14ac:dyDescent="0.25">
      <c r="A573" s="1287"/>
      <c r="B573" s="87" t="s">
        <v>840</v>
      </c>
      <c r="C573" s="88">
        <v>331</v>
      </c>
      <c r="D573" s="711">
        <v>167.70392749000001</v>
      </c>
      <c r="E573" s="711">
        <v>7.2607255865999996</v>
      </c>
      <c r="F573" s="711">
        <v>167</v>
      </c>
      <c r="G573" s="711">
        <v>147</v>
      </c>
      <c r="H573" s="711">
        <v>200</v>
      </c>
      <c r="I573" s="711"/>
      <c r="J573" s="717">
        <v>49</v>
      </c>
      <c r="K573" s="711">
        <v>151.75510204</v>
      </c>
      <c r="L573" s="711">
        <v>7.3016282779999999</v>
      </c>
      <c r="M573" s="711">
        <v>152</v>
      </c>
      <c r="N573" s="711">
        <v>129</v>
      </c>
      <c r="O573" s="712">
        <v>170</v>
      </c>
    </row>
    <row r="574" spans="1:15" s="86" customFormat="1" ht="15" x14ac:dyDescent="0.25">
      <c r="A574" s="1287"/>
      <c r="B574" s="87" t="s">
        <v>841</v>
      </c>
      <c r="C574" s="88">
        <v>331</v>
      </c>
      <c r="D574" s="711">
        <v>95.362779455999998</v>
      </c>
      <c r="E574" s="711">
        <v>10.357553742</v>
      </c>
      <c r="F574" s="711">
        <v>94.1</v>
      </c>
      <c r="G574" s="711">
        <v>69</v>
      </c>
      <c r="H574" s="711">
        <v>132</v>
      </c>
      <c r="I574" s="711"/>
      <c r="J574" s="717">
        <v>49</v>
      </c>
      <c r="K574" s="711">
        <v>97.807142857000002</v>
      </c>
      <c r="L574" s="711">
        <v>10.931700081000001</v>
      </c>
      <c r="M574" s="711">
        <v>98</v>
      </c>
      <c r="N574" s="711">
        <v>78</v>
      </c>
      <c r="O574" s="712">
        <v>125</v>
      </c>
    </row>
    <row r="575" spans="1:15" s="86" customFormat="1" ht="15" x14ac:dyDescent="0.25">
      <c r="A575" s="1287"/>
      <c r="B575" s="87" t="s">
        <v>843</v>
      </c>
      <c r="C575" s="88">
        <v>331</v>
      </c>
      <c r="D575" s="711">
        <v>99.758277946000007</v>
      </c>
      <c r="E575" s="711">
        <v>9.7395913233999991</v>
      </c>
      <c r="F575" s="711">
        <v>99</v>
      </c>
      <c r="G575" s="711">
        <v>63</v>
      </c>
      <c r="H575" s="711">
        <v>150</v>
      </c>
      <c r="I575" s="711"/>
      <c r="J575" s="717">
        <v>49</v>
      </c>
      <c r="K575" s="711">
        <v>105.32612245</v>
      </c>
      <c r="L575" s="711">
        <v>10.293124893</v>
      </c>
      <c r="M575" s="711">
        <v>105</v>
      </c>
      <c r="N575" s="711">
        <v>80</v>
      </c>
      <c r="O575" s="712">
        <v>130</v>
      </c>
    </row>
    <row r="576" spans="1:15" s="86" customFormat="1" ht="15" x14ac:dyDescent="0.25">
      <c r="A576" s="1288"/>
      <c r="B576" s="89" t="s">
        <v>844</v>
      </c>
      <c r="C576" s="90">
        <v>331</v>
      </c>
      <c r="D576" s="98">
        <v>0.95685800600000004</v>
      </c>
      <c r="E576" s="98">
        <v>5.9429926299999998E-2</v>
      </c>
      <c r="F576" s="98">
        <v>0.95</v>
      </c>
      <c r="G576" s="98">
        <v>0.73</v>
      </c>
      <c r="H576" s="98">
        <v>1.18</v>
      </c>
      <c r="I576" s="98"/>
      <c r="J576" s="718">
        <v>49</v>
      </c>
      <c r="K576" s="98">
        <v>0.92979591839999998</v>
      </c>
      <c r="L576" s="98">
        <v>8.6276923199999994E-2</v>
      </c>
      <c r="M576" s="98">
        <v>0.91</v>
      </c>
      <c r="N576" s="98">
        <v>0.76</v>
      </c>
      <c r="O576" s="99">
        <v>1.1599999999999999</v>
      </c>
    </row>
    <row r="577" spans="1:15" s="86" customFormat="1" ht="15" x14ac:dyDescent="0.25">
      <c r="A577" s="1286" t="s">
        <v>612</v>
      </c>
      <c r="B577" s="855" t="s">
        <v>837</v>
      </c>
      <c r="C577" s="856">
        <v>259</v>
      </c>
      <c r="D577" s="857">
        <v>64.869811299999995</v>
      </c>
      <c r="E577" s="857">
        <v>11.1209668</v>
      </c>
      <c r="F577" s="857">
        <v>65</v>
      </c>
      <c r="G577" s="857">
        <v>35</v>
      </c>
      <c r="H577" s="857">
        <v>88</v>
      </c>
      <c r="I577" s="857"/>
      <c r="J577" s="858">
        <v>289</v>
      </c>
      <c r="K577" s="857">
        <v>63.224745800000001</v>
      </c>
      <c r="L577" s="857">
        <v>10.6562634</v>
      </c>
      <c r="M577" s="857">
        <v>63</v>
      </c>
      <c r="N577" s="857">
        <v>35.6</v>
      </c>
      <c r="O577" s="710">
        <v>86</v>
      </c>
    </row>
    <row r="578" spans="1:15" s="86" customFormat="1" ht="15" x14ac:dyDescent="0.25">
      <c r="A578" s="1287"/>
      <c r="B578" s="87" t="s">
        <v>838</v>
      </c>
      <c r="C578" s="88">
        <v>257</v>
      </c>
      <c r="D578" s="711">
        <v>24.1758755</v>
      </c>
      <c r="E578" s="711">
        <v>3.2864366</v>
      </c>
      <c r="F578" s="711">
        <v>24</v>
      </c>
      <c r="G578" s="711">
        <v>15.6</v>
      </c>
      <c r="H578" s="711">
        <v>36.200000000000003</v>
      </c>
      <c r="I578" s="711"/>
      <c r="J578" s="717">
        <v>287</v>
      </c>
      <c r="K578" s="711">
        <v>25.245296199999999</v>
      </c>
      <c r="L578" s="711">
        <v>4.2963683000000001</v>
      </c>
      <c r="M578" s="711">
        <v>25</v>
      </c>
      <c r="N578" s="711">
        <v>15.6</v>
      </c>
      <c r="O578" s="712">
        <v>37.200000000000003</v>
      </c>
    </row>
    <row r="579" spans="1:15" s="86" customFormat="1" ht="15" x14ac:dyDescent="0.25">
      <c r="A579" s="1287"/>
      <c r="B579" s="87" t="s">
        <v>839</v>
      </c>
      <c r="C579" s="88">
        <v>259</v>
      </c>
      <c r="D579" s="711">
        <v>66.596138999999994</v>
      </c>
      <c r="E579" s="711">
        <v>10.581121899999999</v>
      </c>
      <c r="F579" s="711">
        <v>67</v>
      </c>
      <c r="G579" s="711">
        <v>40.5</v>
      </c>
      <c r="H579" s="711">
        <v>105</v>
      </c>
      <c r="I579" s="711"/>
      <c r="J579" s="717">
        <v>289</v>
      </c>
      <c r="K579" s="711">
        <v>60.707612500000003</v>
      </c>
      <c r="L579" s="711">
        <v>11.294996899999999</v>
      </c>
      <c r="M579" s="711">
        <v>61</v>
      </c>
      <c r="N579" s="711">
        <v>36</v>
      </c>
      <c r="O579" s="712">
        <v>95</v>
      </c>
    </row>
    <row r="580" spans="1:15" s="86" customFormat="1" ht="15" x14ac:dyDescent="0.25">
      <c r="A580" s="1287"/>
      <c r="B580" s="87" t="s">
        <v>840</v>
      </c>
      <c r="C580" s="88">
        <v>215</v>
      </c>
      <c r="D580" s="711">
        <v>165.55534879999999</v>
      </c>
      <c r="E580" s="711">
        <v>6.2087484999999996</v>
      </c>
      <c r="F580" s="711">
        <v>165</v>
      </c>
      <c r="G580" s="711">
        <v>146.5</v>
      </c>
      <c r="H580" s="711">
        <v>181</v>
      </c>
      <c r="I580" s="711"/>
      <c r="J580" s="717">
        <v>247</v>
      </c>
      <c r="K580" s="711">
        <v>154.7384615</v>
      </c>
      <c r="L580" s="711">
        <v>5.9229348000000002</v>
      </c>
      <c r="M580" s="711">
        <v>155</v>
      </c>
      <c r="N580" s="711">
        <v>139.5</v>
      </c>
      <c r="O580" s="712">
        <v>170</v>
      </c>
    </row>
    <row r="581" spans="1:15" s="86" customFormat="1" ht="15" x14ac:dyDescent="0.25">
      <c r="A581" s="1287"/>
      <c r="B581" s="87" t="s">
        <v>841</v>
      </c>
      <c r="C581" s="88">
        <v>111</v>
      </c>
      <c r="D581" s="711">
        <v>90.736035999999999</v>
      </c>
      <c r="E581" s="711">
        <v>8.1883818999999995</v>
      </c>
      <c r="F581" s="711">
        <v>90</v>
      </c>
      <c r="G581" s="711">
        <v>74</v>
      </c>
      <c r="H581" s="711">
        <v>130</v>
      </c>
      <c r="I581" s="711"/>
      <c r="J581" s="717">
        <v>139</v>
      </c>
      <c r="K581" s="711">
        <v>89.507194200000001</v>
      </c>
      <c r="L581" s="711">
        <v>10.6992797</v>
      </c>
      <c r="M581" s="711">
        <v>89</v>
      </c>
      <c r="N581" s="711">
        <v>68</v>
      </c>
      <c r="O581" s="712">
        <v>130</v>
      </c>
    </row>
    <row r="582" spans="1:15" s="86" customFormat="1" ht="15" x14ac:dyDescent="0.25">
      <c r="A582" s="1287"/>
      <c r="B582" s="87" t="s">
        <v>843</v>
      </c>
      <c r="C582" s="88">
        <v>58</v>
      </c>
      <c r="D582" s="711">
        <v>97.737931000000003</v>
      </c>
      <c r="E582" s="711">
        <v>6.9337169000000003</v>
      </c>
      <c r="F582" s="711">
        <v>97</v>
      </c>
      <c r="G582" s="711">
        <v>85</v>
      </c>
      <c r="H582" s="711">
        <v>121</v>
      </c>
      <c r="I582" s="711"/>
      <c r="J582" s="717">
        <v>86</v>
      </c>
      <c r="K582" s="711">
        <v>98.197674399999997</v>
      </c>
      <c r="L582" s="711">
        <v>9.8304086999999996</v>
      </c>
      <c r="M582" s="711">
        <v>98</v>
      </c>
      <c r="N582" s="711">
        <v>76</v>
      </c>
      <c r="O582" s="712">
        <v>121.5</v>
      </c>
    </row>
    <row r="583" spans="1:15" s="86" customFormat="1" ht="15" x14ac:dyDescent="0.25">
      <c r="A583" s="1288"/>
      <c r="B583" s="89" t="s">
        <v>844</v>
      </c>
      <c r="C583" s="90">
        <v>58</v>
      </c>
      <c r="D583" s="98">
        <v>0.93379310000000004</v>
      </c>
      <c r="E583" s="98">
        <v>3.45308E-2</v>
      </c>
      <c r="F583" s="98">
        <v>0.91</v>
      </c>
      <c r="G583" s="98">
        <v>0.86</v>
      </c>
      <c r="H583" s="98">
        <v>1.07</v>
      </c>
      <c r="I583" s="98"/>
      <c r="J583" s="718">
        <v>86</v>
      </c>
      <c r="K583" s="98">
        <v>0.93023259999999997</v>
      </c>
      <c r="L583" s="98">
        <v>5.3025599999999999E-2</v>
      </c>
      <c r="M583" s="98">
        <v>0.9</v>
      </c>
      <c r="N583" s="98">
        <v>0.8</v>
      </c>
      <c r="O583" s="99">
        <v>1.07</v>
      </c>
    </row>
    <row r="584" spans="1:15" s="86" customFormat="1" ht="15" x14ac:dyDescent="0.25">
      <c r="A584" s="1286" t="s">
        <v>617</v>
      </c>
      <c r="B584" s="855" t="s">
        <v>837</v>
      </c>
      <c r="C584" s="856">
        <v>173</v>
      </c>
      <c r="D584" s="857">
        <v>49.888230802485602</v>
      </c>
      <c r="E584" s="857">
        <v>12.906501441143901</v>
      </c>
      <c r="F584" s="857">
        <v>50.072553050000003</v>
      </c>
      <c r="G584" s="857">
        <v>19.644079399999999</v>
      </c>
      <c r="H584" s="857">
        <v>79.731690619999995</v>
      </c>
      <c r="I584" s="857"/>
      <c r="J584" s="858">
        <v>826</v>
      </c>
      <c r="K584" s="857">
        <v>48.249880260423701</v>
      </c>
      <c r="L584" s="857">
        <v>13.1088288064779</v>
      </c>
      <c r="M584" s="857">
        <v>49.166324435</v>
      </c>
      <c r="N584" s="857">
        <v>17.95208761</v>
      </c>
      <c r="O584" s="710">
        <v>80.714579060000005</v>
      </c>
    </row>
    <row r="585" spans="1:15" s="86" customFormat="1" ht="15" x14ac:dyDescent="0.25">
      <c r="A585" s="1287"/>
      <c r="B585" s="87" t="s">
        <v>838</v>
      </c>
      <c r="C585" s="88">
        <v>173</v>
      </c>
      <c r="D585" s="711">
        <v>26.192748149248601</v>
      </c>
      <c r="E585" s="711">
        <v>3.74456079686821</v>
      </c>
      <c r="F585" s="711">
        <v>25.951479679999998</v>
      </c>
      <c r="G585" s="711">
        <v>17.406526620000001</v>
      </c>
      <c r="H585" s="711">
        <v>41.163182620000001</v>
      </c>
      <c r="I585" s="711"/>
      <c r="J585" s="717">
        <v>826</v>
      </c>
      <c r="K585" s="711">
        <v>26.1198538946126</v>
      </c>
      <c r="L585" s="711">
        <v>5.2328965663101297</v>
      </c>
      <c r="M585" s="711">
        <v>25.001545239999999</v>
      </c>
      <c r="N585" s="711">
        <v>16.232448659999999</v>
      </c>
      <c r="O585" s="712">
        <v>52.70703323</v>
      </c>
    </row>
    <row r="586" spans="1:15" s="86" customFormat="1" ht="15" x14ac:dyDescent="0.25">
      <c r="A586" s="1287"/>
      <c r="B586" s="87" t="s">
        <v>839</v>
      </c>
      <c r="C586" s="88">
        <v>173</v>
      </c>
      <c r="D586" s="711">
        <v>80.572832369942205</v>
      </c>
      <c r="E586" s="711">
        <v>11.5430242480688</v>
      </c>
      <c r="F586" s="711">
        <v>80.5</v>
      </c>
      <c r="G586" s="711">
        <v>52.7</v>
      </c>
      <c r="H586" s="711">
        <v>118.8</v>
      </c>
      <c r="I586" s="711"/>
      <c r="J586" s="717">
        <v>826</v>
      </c>
      <c r="K586" s="711">
        <v>69.137893462469705</v>
      </c>
      <c r="L586" s="711">
        <v>13.8528974732944</v>
      </c>
      <c r="M586" s="711">
        <v>66.849999999999994</v>
      </c>
      <c r="N586" s="711">
        <v>41</v>
      </c>
      <c r="O586" s="712">
        <v>126.6</v>
      </c>
    </row>
    <row r="587" spans="1:15" s="86" customFormat="1" ht="15" x14ac:dyDescent="0.25">
      <c r="A587" s="1287"/>
      <c r="B587" s="87" t="s">
        <v>840</v>
      </c>
      <c r="C587" s="88">
        <v>173</v>
      </c>
      <c r="D587" s="711">
        <v>175.51098265895999</v>
      </c>
      <c r="E587" s="711">
        <v>6.9231198156796099</v>
      </c>
      <c r="F587" s="711">
        <v>174</v>
      </c>
      <c r="G587" s="711">
        <v>162</v>
      </c>
      <c r="H587" s="711">
        <v>206</v>
      </c>
      <c r="I587" s="711"/>
      <c r="J587" s="717">
        <v>826</v>
      </c>
      <c r="K587" s="711">
        <v>162.79697336561699</v>
      </c>
      <c r="L587" s="711">
        <v>6.3078827484168203</v>
      </c>
      <c r="M587" s="711">
        <v>163</v>
      </c>
      <c r="N587" s="711">
        <v>144</v>
      </c>
      <c r="O587" s="712">
        <v>180.5</v>
      </c>
    </row>
    <row r="588" spans="1:15" s="86" customFormat="1" ht="15" x14ac:dyDescent="0.25">
      <c r="A588" s="1287"/>
      <c r="B588" s="87" t="s">
        <v>841</v>
      </c>
      <c r="C588" s="88">
        <v>79</v>
      </c>
      <c r="D588" s="711">
        <v>93.025316455696199</v>
      </c>
      <c r="E588" s="711">
        <v>9.61965760298005</v>
      </c>
      <c r="F588" s="711">
        <v>93</v>
      </c>
      <c r="G588" s="711">
        <v>71</v>
      </c>
      <c r="H588" s="711">
        <v>118</v>
      </c>
      <c r="I588" s="711"/>
      <c r="J588" s="717">
        <v>600</v>
      </c>
      <c r="K588" s="711">
        <v>81.25</v>
      </c>
      <c r="L588" s="711">
        <v>11.4565303129417</v>
      </c>
      <c r="M588" s="711">
        <v>79</v>
      </c>
      <c r="N588" s="711">
        <v>58</v>
      </c>
      <c r="O588" s="712">
        <v>122</v>
      </c>
    </row>
    <row r="589" spans="1:15" s="86" customFormat="1" ht="15" x14ac:dyDescent="0.25">
      <c r="A589" s="1287"/>
      <c r="B589" s="87" t="s">
        <v>843</v>
      </c>
      <c r="C589" s="88">
        <v>79</v>
      </c>
      <c r="D589" s="711">
        <v>100.974683544304</v>
      </c>
      <c r="E589" s="711">
        <v>7.0492310610745399</v>
      </c>
      <c r="F589" s="711">
        <v>100</v>
      </c>
      <c r="G589" s="711">
        <v>81</v>
      </c>
      <c r="H589" s="711">
        <v>120</v>
      </c>
      <c r="I589" s="711"/>
      <c r="J589" s="717">
        <v>600</v>
      </c>
      <c r="K589" s="711">
        <v>103.158333333333</v>
      </c>
      <c r="L589" s="711">
        <v>10.6997229250735</v>
      </c>
      <c r="M589" s="711">
        <v>102</v>
      </c>
      <c r="N589" s="711">
        <v>70</v>
      </c>
      <c r="O589" s="712">
        <v>146</v>
      </c>
    </row>
    <row r="590" spans="1:15" s="86" customFormat="1" ht="15" x14ac:dyDescent="0.25">
      <c r="A590" s="1288"/>
      <c r="B590" s="89" t="s">
        <v>844</v>
      </c>
      <c r="C590" s="90">
        <v>79</v>
      </c>
      <c r="D590" s="98">
        <v>0.92036067416455702</v>
      </c>
      <c r="E590" s="98">
        <v>5.74052970043668E-2</v>
      </c>
      <c r="F590" s="98">
        <v>0.91743119299999998</v>
      </c>
      <c r="G590" s="98">
        <v>0.75257731999999999</v>
      </c>
      <c r="H590" s="98">
        <v>1.0510204080000001</v>
      </c>
      <c r="I590" s="98"/>
      <c r="J590" s="718">
        <v>600</v>
      </c>
      <c r="K590" s="98">
        <v>0.78672902225666697</v>
      </c>
      <c r="L590" s="98">
        <v>6.4642784599273695E-2</v>
      </c>
      <c r="M590" s="98">
        <v>0.78301886799999998</v>
      </c>
      <c r="N590" s="98">
        <v>0.61818181800000005</v>
      </c>
      <c r="O590" s="99">
        <v>1.3698630140000001</v>
      </c>
    </row>
    <row r="591" spans="1:15" s="86" customFormat="1" ht="15" x14ac:dyDescent="0.25">
      <c r="A591" s="1290" t="s">
        <v>620</v>
      </c>
      <c r="B591" s="865" t="s">
        <v>837</v>
      </c>
      <c r="C591" s="982">
        <v>56936</v>
      </c>
      <c r="D591" s="983">
        <v>57.256970000000003</v>
      </c>
      <c r="E591" s="983">
        <v>8.0288310000000003</v>
      </c>
      <c r="F591" s="984">
        <v>59</v>
      </c>
      <c r="G591" s="983">
        <v>40</v>
      </c>
      <c r="H591" s="983">
        <v>73</v>
      </c>
      <c r="I591" s="983"/>
      <c r="J591" s="985">
        <v>63350</v>
      </c>
      <c r="K591" s="983">
        <v>56.617319999999999</v>
      </c>
      <c r="L591" s="983">
        <v>7.8451599999999999</v>
      </c>
      <c r="M591" s="984">
        <v>58</v>
      </c>
      <c r="N591" s="983">
        <v>40</v>
      </c>
      <c r="O591" s="986">
        <v>70</v>
      </c>
    </row>
    <row r="592" spans="1:15" s="86" customFormat="1" ht="15" x14ac:dyDescent="0.25">
      <c r="A592" s="1291"/>
      <c r="B592" s="100" t="s">
        <v>838</v>
      </c>
      <c r="C592" s="987">
        <v>56668</v>
      </c>
      <c r="D592" s="988">
        <v>27.945889999999999</v>
      </c>
      <c r="E592" s="988">
        <v>4.312462</v>
      </c>
      <c r="F592" s="989">
        <v>27.399000000000001</v>
      </c>
      <c r="G592" s="988">
        <v>15.253</v>
      </c>
      <c r="H592" s="988">
        <v>63.436999999999998</v>
      </c>
      <c r="I592" s="988"/>
      <c r="J592" s="990">
        <v>62945</v>
      </c>
      <c r="K592" s="988">
        <v>27.156500000000001</v>
      </c>
      <c r="L592" s="988">
        <v>5.2064820000000003</v>
      </c>
      <c r="M592" s="989">
        <v>26.187000000000001</v>
      </c>
      <c r="N592" s="988">
        <v>15.018000000000001</v>
      </c>
      <c r="O592" s="991">
        <v>74.683999999999997</v>
      </c>
    </row>
    <row r="593" spans="1:15" s="86" customFormat="1" ht="15" x14ac:dyDescent="0.25">
      <c r="A593" s="1291"/>
      <c r="B593" s="100" t="s">
        <v>840</v>
      </c>
      <c r="C593" s="987">
        <v>56832</v>
      </c>
      <c r="D593" s="992">
        <v>175.69550000000001</v>
      </c>
      <c r="E593" s="992">
        <v>6.734064</v>
      </c>
      <c r="F593" s="992">
        <v>176</v>
      </c>
      <c r="G593" s="992">
        <v>133</v>
      </c>
      <c r="H593" s="992">
        <v>205</v>
      </c>
      <c r="I593" s="988"/>
      <c r="J593" s="990">
        <v>63252</v>
      </c>
      <c r="K593" s="992">
        <v>162.5746</v>
      </c>
      <c r="L593" s="992">
        <v>6.1915779999999998</v>
      </c>
      <c r="M593" s="992">
        <v>162.30000000000001</v>
      </c>
      <c r="N593" s="992">
        <v>126</v>
      </c>
      <c r="O593" s="993">
        <v>190</v>
      </c>
    </row>
    <row r="594" spans="1:15" s="86" customFormat="1" ht="15" x14ac:dyDescent="0.25">
      <c r="A594" s="1292"/>
      <c r="B594" s="101" t="s">
        <v>844</v>
      </c>
      <c r="C594" s="994">
        <v>56849</v>
      </c>
      <c r="D594" s="995">
        <v>0.93814549999999997</v>
      </c>
      <c r="E594" s="995">
        <v>6.5239699999999998E-2</v>
      </c>
      <c r="F594" s="996">
        <v>0.93636359999999996</v>
      </c>
      <c r="G594" s="995">
        <v>0.60784320000000003</v>
      </c>
      <c r="H594" s="995">
        <v>1.309091</v>
      </c>
      <c r="I594" s="716"/>
      <c r="J594" s="997">
        <v>63175</v>
      </c>
      <c r="K594" s="995">
        <v>0.81874170000000002</v>
      </c>
      <c r="L594" s="995">
        <v>7.01571E-2</v>
      </c>
      <c r="M594" s="996">
        <v>0.8139535</v>
      </c>
      <c r="N594" s="995">
        <v>0.48642859999999999</v>
      </c>
      <c r="O594" s="998">
        <v>1.3163260000000001</v>
      </c>
    </row>
    <row r="595" spans="1:15" s="86" customFormat="1" ht="15" x14ac:dyDescent="0.25">
      <c r="A595" s="1286" t="s">
        <v>624</v>
      </c>
      <c r="B595" s="87" t="s">
        <v>837</v>
      </c>
      <c r="C595" s="88">
        <v>1102</v>
      </c>
      <c r="D595" s="711">
        <v>70.994464736043426</v>
      </c>
      <c r="E595" s="711">
        <v>0.63657542610539808</v>
      </c>
      <c r="F595" s="711">
        <v>71</v>
      </c>
      <c r="G595" s="711">
        <v>69.400000000000006</v>
      </c>
      <c r="H595" s="711">
        <v>74.099999999999994</v>
      </c>
      <c r="I595" s="711"/>
      <c r="J595" s="717" t="s">
        <v>842</v>
      </c>
      <c r="K595" s="711" t="s">
        <v>842</v>
      </c>
      <c r="L595" s="711" t="s">
        <v>842</v>
      </c>
      <c r="M595" s="711" t="s">
        <v>842</v>
      </c>
      <c r="N595" s="711" t="s">
        <v>842</v>
      </c>
      <c r="O595" s="712" t="s">
        <v>842</v>
      </c>
    </row>
    <row r="596" spans="1:15" s="86" customFormat="1" ht="15" x14ac:dyDescent="0.25">
      <c r="A596" s="1287"/>
      <c r="B596" s="87" t="s">
        <v>838</v>
      </c>
      <c r="C596" s="88">
        <v>1098</v>
      </c>
      <c r="D596" s="711">
        <v>26.225500893670322</v>
      </c>
      <c r="E596" s="711">
        <v>3.4042758242714979</v>
      </c>
      <c r="F596" s="711">
        <v>25.869999884999999</v>
      </c>
      <c r="G596" s="711">
        <v>16.690000000000001</v>
      </c>
      <c r="H596" s="711">
        <v>46.34</v>
      </c>
      <c r="I596" s="711"/>
      <c r="J596" s="717" t="s">
        <v>842</v>
      </c>
      <c r="K596" s="711" t="s">
        <v>842</v>
      </c>
      <c r="L596" s="711" t="s">
        <v>842</v>
      </c>
      <c r="M596" s="711" t="s">
        <v>842</v>
      </c>
      <c r="N596" s="711" t="s">
        <v>842</v>
      </c>
      <c r="O596" s="712" t="s">
        <v>842</v>
      </c>
    </row>
    <row r="597" spans="1:15" s="86" customFormat="1" ht="15" x14ac:dyDescent="0.25">
      <c r="A597" s="1287"/>
      <c r="B597" s="87" t="s">
        <v>839</v>
      </c>
      <c r="C597" s="88">
        <v>1102</v>
      </c>
      <c r="D597" s="711">
        <v>80.294383030136061</v>
      </c>
      <c r="E597" s="711">
        <v>11.447389405808472</v>
      </c>
      <c r="F597" s="711">
        <v>79.5</v>
      </c>
      <c r="G597" s="711">
        <v>46</v>
      </c>
      <c r="H597" s="711">
        <v>138.6999969</v>
      </c>
      <c r="I597" s="711"/>
      <c r="J597" s="717" t="s">
        <v>842</v>
      </c>
      <c r="K597" s="711" t="s">
        <v>842</v>
      </c>
      <c r="L597" s="711" t="s">
        <v>842</v>
      </c>
      <c r="M597" s="711" t="s">
        <v>842</v>
      </c>
      <c r="N597" s="711" t="s">
        <v>842</v>
      </c>
      <c r="O597" s="712" t="s">
        <v>842</v>
      </c>
    </row>
    <row r="598" spans="1:15" s="86" customFormat="1" ht="15" x14ac:dyDescent="0.25">
      <c r="A598" s="1287"/>
      <c r="B598" s="87" t="s">
        <v>840</v>
      </c>
      <c r="C598" s="88">
        <v>1098</v>
      </c>
      <c r="D598" s="711">
        <v>174.91</v>
      </c>
      <c r="E598" s="711">
        <v>5.97</v>
      </c>
      <c r="F598" s="711">
        <v>175</v>
      </c>
      <c r="G598" s="711">
        <v>156</v>
      </c>
      <c r="H598" s="711">
        <v>200</v>
      </c>
      <c r="I598" s="711"/>
      <c r="J598" s="717" t="s">
        <v>842</v>
      </c>
      <c r="K598" s="711" t="s">
        <v>842</v>
      </c>
      <c r="L598" s="711" t="s">
        <v>842</v>
      </c>
      <c r="M598" s="711" t="s">
        <v>842</v>
      </c>
      <c r="N598" s="711" t="s">
        <v>842</v>
      </c>
      <c r="O598" s="712" t="s">
        <v>842</v>
      </c>
    </row>
    <row r="599" spans="1:15" s="86" customFormat="1" ht="15" x14ac:dyDescent="0.25">
      <c r="A599" s="1287"/>
      <c r="B599" s="87" t="s">
        <v>841</v>
      </c>
      <c r="C599" s="88">
        <v>1081</v>
      </c>
      <c r="D599" s="711">
        <v>94.619796484736355</v>
      </c>
      <c r="E599" s="711">
        <v>9.5542668553755714</v>
      </c>
      <c r="F599" s="711">
        <v>94</v>
      </c>
      <c r="G599" s="711">
        <v>51</v>
      </c>
      <c r="H599" s="711">
        <v>137</v>
      </c>
      <c r="I599" s="711"/>
      <c r="J599" s="717" t="s">
        <v>842</v>
      </c>
      <c r="K599" s="711" t="s">
        <v>842</v>
      </c>
      <c r="L599" s="711" t="s">
        <v>842</v>
      </c>
      <c r="M599" s="711" t="s">
        <v>842</v>
      </c>
      <c r="N599" s="711" t="s">
        <v>842</v>
      </c>
      <c r="O599" s="712" t="s">
        <v>842</v>
      </c>
    </row>
    <row r="600" spans="1:15" s="86" customFormat="1" ht="15" x14ac:dyDescent="0.25">
      <c r="A600" s="1287"/>
      <c r="B600" s="87" t="s">
        <v>843</v>
      </c>
      <c r="C600" s="88">
        <v>1081</v>
      </c>
      <c r="D600" s="711">
        <v>100.11655874190565</v>
      </c>
      <c r="E600" s="711">
        <v>7.0816215969983807</v>
      </c>
      <c r="F600" s="711">
        <v>100</v>
      </c>
      <c r="G600" s="711">
        <v>51</v>
      </c>
      <c r="H600" s="711">
        <v>141</v>
      </c>
      <c r="I600" s="711"/>
      <c r="J600" s="717" t="s">
        <v>842</v>
      </c>
      <c r="K600" s="711" t="s">
        <v>842</v>
      </c>
      <c r="L600" s="711" t="s">
        <v>842</v>
      </c>
      <c r="M600" s="711" t="s">
        <v>842</v>
      </c>
      <c r="N600" s="711" t="s">
        <v>842</v>
      </c>
      <c r="O600" s="712" t="s">
        <v>842</v>
      </c>
    </row>
    <row r="601" spans="1:15" s="86" customFormat="1" ht="15" x14ac:dyDescent="0.25">
      <c r="A601" s="1288"/>
      <c r="B601" s="89" t="s">
        <v>844</v>
      </c>
      <c r="C601" s="90">
        <v>1081</v>
      </c>
      <c r="D601" s="98">
        <v>0.94</v>
      </c>
      <c r="E601" s="98">
        <v>5.2999999999999999E-2</v>
      </c>
      <c r="F601" s="98">
        <v>0.94999998799999996</v>
      </c>
      <c r="G601" s="98">
        <v>0.78</v>
      </c>
      <c r="H601" s="98">
        <v>1.1399999999999999</v>
      </c>
      <c r="I601" s="98"/>
      <c r="J601" s="718" t="s">
        <v>842</v>
      </c>
      <c r="K601" s="98" t="s">
        <v>842</v>
      </c>
      <c r="L601" s="98" t="s">
        <v>842</v>
      </c>
      <c r="M601" s="98" t="s">
        <v>842</v>
      </c>
      <c r="N601" s="98" t="s">
        <v>842</v>
      </c>
      <c r="O601" s="99" t="s">
        <v>842</v>
      </c>
    </row>
    <row r="602" spans="1:15" s="86" customFormat="1" ht="15" x14ac:dyDescent="0.25">
      <c r="A602" s="1286" t="s">
        <v>881</v>
      </c>
      <c r="B602" s="855" t="s">
        <v>837</v>
      </c>
      <c r="C602" s="856">
        <v>1249</v>
      </c>
      <c r="D602" s="857">
        <v>63.54</v>
      </c>
      <c r="E602" s="857">
        <v>8.49</v>
      </c>
      <c r="F602" s="857">
        <v>64.48</v>
      </c>
      <c r="G602" s="857">
        <v>33.630000000000003</v>
      </c>
      <c r="H602" s="857">
        <v>83.5</v>
      </c>
      <c r="I602" s="857"/>
      <c r="J602" s="858">
        <v>772</v>
      </c>
      <c r="K602" s="857">
        <v>62.81</v>
      </c>
      <c r="L602" s="857">
        <v>9.15</v>
      </c>
      <c r="M602" s="857">
        <v>63.8</v>
      </c>
      <c r="N602" s="857">
        <v>31.75</v>
      </c>
      <c r="O602" s="710">
        <v>81.52</v>
      </c>
    </row>
    <row r="603" spans="1:15" s="86" customFormat="1" ht="15" x14ac:dyDescent="0.25">
      <c r="A603" s="1287"/>
      <c r="B603" s="87" t="s">
        <v>838</v>
      </c>
      <c r="C603" s="88">
        <v>1249</v>
      </c>
      <c r="D603" s="711">
        <v>30.18</v>
      </c>
      <c r="E603" s="711">
        <v>4.8899999999999997</v>
      </c>
      <c r="F603" s="711">
        <v>29.65</v>
      </c>
      <c r="G603" s="711">
        <v>17.64</v>
      </c>
      <c r="H603" s="711">
        <v>52.62</v>
      </c>
      <c r="I603" s="711"/>
      <c r="J603" s="717">
        <v>772</v>
      </c>
      <c r="K603" s="711">
        <v>31.01</v>
      </c>
      <c r="L603" s="711">
        <v>6.21</v>
      </c>
      <c r="M603" s="711">
        <v>30.26</v>
      </c>
      <c r="N603" s="711">
        <v>17.75</v>
      </c>
      <c r="O603" s="712">
        <v>65.400000000000006</v>
      </c>
    </row>
    <row r="604" spans="1:15" s="86" customFormat="1" ht="15" x14ac:dyDescent="0.25">
      <c r="A604" s="1287"/>
      <c r="B604" s="87" t="s">
        <v>839</v>
      </c>
      <c r="C604" s="88">
        <v>1249</v>
      </c>
      <c r="D604" s="711">
        <v>92.44</v>
      </c>
      <c r="E604" s="711">
        <v>16.920000000000002</v>
      </c>
      <c r="F604" s="711">
        <v>90.1</v>
      </c>
      <c r="G604" s="711">
        <v>55.3</v>
      </c>
      <c r="H604" s="711">
        <v>168.2</v>
      </c>
      <c r="I604" s="711"/>
      <c r="J604" s="717">
        <v>772</v>
      </c>
      <c r="K604" s="711">
        <v>81.84</v>
      </c>
      <c r="L604" s="711">
        <v>17.54</v>
      </c>
      <c r="M604" s="711">
        <v>80</v>
      </c>
      <c r="N604" s="711">
        <v>42.1</v>
      </c>
      <c r="O604" s="712">
        <v>186.8</v>
      </c>
    </row>
    <row r="605" spans="1:15" s="86" customFormat="1" ht="15" x14ac:dyDescent="0.25">
      <c r="A605" s="1287"/>
      <c r="B605" s="87" t="s">
        <v>840</v>
      </c>
      <c r="C605" s="88">
        <v>1249</v>
      </c>
      <c r="D605" s="711">
        <v>174.83</v>
      </c>
      <c r="E605" s="711">
        <v>6.31</v>
      </c>
      <c r="F605" s="711">
        <v>175</v>
      </c>
      <c r="G605" s="711">
        <v>148</v>
      </c>
      <c r="H605" s="711">
        <v>203</v>
      </c>
      <c r="I605" s="711"/>
      <c r="J605" s="717">
        <v>772</v>
      </c>
      <c r="K605" s="711">
        <v>162.34</v>
      </c>
      <c r="L605" s="711">
        <v>6.35</v>
      </c>
      <c r="M605" s="711">
        <v>162</v>
      </c>
      <c r="N605" s="711">
        <v>140</v>
      </c>
      <c r="O605" s="712">
        <v>182</v>
      </c>
    </row>
    <row r="606" spans="1:15" s="86" customFormat="1" ht="15" x14ac:dyDescent="0.25">
      <c r="A606" s="1287"/>
      <c r="B606" s="87" t="s">
        <v>841</v>
      </c>
      <c r="C606" s="88">
        <v>1249</v>
      </c>
      <c r="D606" s="711">
        <v>106.27</v>
      </c>
      <c r="E606" s="711">
        <v>12.45</v>
      </c>
      <c r="F606" s="711">
        <v>105</v>
      </c>
      <c r="G606" s="711">
        <v>73</v>
      </c>
      <c r="H606" s="711">
        <v>159</v>
      </c>
      <c r="I606" s="711"/>
      <c r="J606" s="717">
        <v>772</v>
      </c>
      <c r="K606" s="711">
        <v>101.3</v>
      </c>
      <c r="L606" s="711">
        <v>14.12</v>
      </c>
      <c r="M606" s="711">
        <v>101</v>
      </c>
      <c r="N606" s="711">
        <v>65</v>
      </c>
      <c r="O606" s="712">
        <v>157</v>
      </c>
    </row>
    <row r="607" spans="1:15" s="86" customFormat="1" ht="15" x14ac:dyDescent="0.25">
      <c r="A607" s="1287"/>
      <c r="B607" s="87" t="s">
        <v>843</v>
      </c>
      <c r="C607" s="88">
        <v>1249</v>
      </c>
      <c r="D607" s="711">
        <v>106.77</v>
      </c>
      <c r="E607" s="711">
        <v>9.16</v>
      </c>
      <c r="F607" s="711">
        <v>105</v>
      </c>
      <c r="G607" s="711">
        <v>85</v>
      </c>
      <c r="H607" s="711">
        <v>155</v>
      </c>
      <c r="I607" s="711"/>
      <c r="J607" s="717">
        <v>772</v>
      </c>
      <c r="K607" s="711">
        <v>110.63</v>
      </c>
      <c r="L607" s="711">
        <v>13.22</v>
      </c>
      <c r="M607" s="711">
        <v>109</v>
      </c>
      <c r="N607" s="711">
        <v>65</v>
      </c>
      <c r="O607" s="712">
        <v>189</v>
      </c>
    </row>
    <row r="608" spans="1:15" s="86" customFormat="1" ht="15" x14ac:dyDescent="0.25">
      <c r="A608" s="1288"/>
      <c r="B608" s="89" t="s">
        <v>844</v>
      </c>
      <c r="C608" s="90">
        <v>1249</v>
      </c>
      <c r="D608" s="98">
        <v>0.99</v>
      </c>
      <c r="E608" s="98">
        <v>0.06</v>
      </c>
      <c r="F608" s="98">
        <v>0.99</v>
      </c>
      <c r="G608" s="98">
        <v>0.82</v>
      </c>
      <c r="H608" s="98">
        <v>1.25</v>
      </c>
      <c r="I608" s="98"/>
      <c r="J608" s="718">
        <v>772</v>
      </c>
      <c r="K608" s="98">
        <v>0.92</v>
      </c>
      <c r="L608" s="98">
        <v>0.06</v>
      </c>
      <c r="M608" s="98">
        <v>0.92</v>
      </c>
      <c r="N608" s="98">
        <v>0.68</v>
      </c>
      <c r="O608" s="99">
        <v>1.2</v>
      </c>
    </row>
    <row r="609" spans="1:15" s="86" customFormat="1" ht="15" x14ac:dyDescent="0.25">
      <c r="A609" s="1286" t="s">
        <v>882</v>
      </c>
      <c r="B609" s="855" t="s">
        <v>837</v>
      </c>
      <c r="C609" s="856">
        <v>146</v>
      </c>
      <c r="D609" s="857">
        <v>62.35</v>
      </c>
      <c r="E609" s="857">
        <v>10.24</v>
      </c>
      <c r="F609" s="857">
        <v>64.34</v>
      </c>
      <c r="G609" s="857">
        <v>31.03</v>
      </c>
      <c r="H609" s="857">
        <v>77.89</v>
      </c>
      <c r="I609" s="857"/>
      <c r="J609" s="858">
        <v>288</v>
      </c>
      <c r="K609" s="857">
        <v>55.13</v>
      </c>
      <c r="L609" s="857">
        <v>12.52</v>
      </c>
      <c r="M609" s="857">
        <v>55.64</v>
      </c>
      <c r="N609" s="857">
        <v>26.93</v>
      </c>
      <c r="O609" s="710">
        <v>77.83</v>
      </c>
    </row>
    <row r="610" spans="1:15" s="86" customFormat="1" ht="15" x14ac:dyDescent="0.25">
      <c r="A610" s="1287"/>
      <c r="B610" s="87" t="s">
        <v>838</v>
      </c>
      <c r="C610" s="88">
        <v>146</v>
      </c>
      <c r="D610" s="711">
        <v>23.05</v>
      </c>
      <c r="E610" s="711">
        <v>1.47</v>
      </c>
      <c r="F610" s="711">
        <v>23.33</v>
      </c>
      <c r="G610" s="711">
        <v>16.53</v>
      </c>
      <c r="H610" s="711">
        <v>25</v>
      </c>
      <c r="I610" s="711"/>
      <c r="J610" s="717">
        <v>288</v>
      </c>
      <c r="K610" s="711">
        <v>21.75</v>
      </c>
      <c r="L610" s="711">
        <v>1.93</v>
      </c>
      <c r="M610" s="711">
        <v>21.77</v>
      </c>
      <c r="N610" s="711">
        <v>15.74</v>
      </c>
      <c r="O610" s="712">
        <v>24.99</v>
      </c>
    </row>
    <row r="611" spans="1:15" s="86" customFormat="1" ht="15" x14ac:dyDescent="0.25">
      <c r="A611" s="1287"/>
      <c r="B611" s="87" t="s">
        <v>839</v>
      </c>
      <c r="C611" s="88">
        <v>146</v>
      </c>
      <c r="D611" s="711">
        <v>72.010000000000005</v>
      </c>
      <c r="E611" s="711">
        <v>7.56</v>
      </c>
      <c r="F611" s="711">
        <v>72.099999999999994</v>
      </c>
      <c r="G611" s="711">
        <v>47.2</v>
      </c>
      <c r="H611" s="711">
        <v>90.6</v>
      </c>
      <c r="I611" s="711"/>
      <c r="J611" s="717">
        <v>288</v>
      </c>
      <c r="K611" s="711">
        <v>59.47</v>
      </c>
      <c r="L611" s="711">
        <v>6.17</v>
      </c>
      <c r="M611" s="711">
        <v>59.4</v>
      </c>
      <c r="N611" s="711">
        <v>42.4</v>
      </c>
      <c r="O611" s="712">
        <v>74.099999999999994</v>
      </c>
    </row>
    <row r="612" spans="1:15" s="86" customFormat="1" ht="15" x14ac:dyDescent="0.25">
      <c r="A612" s="1287"/>
      <c r="B612" s="87" t="s">
        <v>840</v>
      </c>
      <c r="C612" s="88">
        <v>146</v>
      </c>
      <c r="D612" s="711">
        <v>176.56</v>
      </c>
      <c r="E612" s="711">
        <v>6.65</v>
      </c>
      <c r="F612" s="711">
        <v>177</v>
      </c>
      <c r="G612" s="711">
        <v>160</v>
      </c>
      <c r="H612" s="711">
        <v>191</v>
      </c>
      <c r="I612" s="711"/>
      <c r="J612" s="717">
        <v>288</v>
      </c>
      <c r="K612" s="711">
        <v>165.34</v>
      </c>
      <c r="L612" s="711">
        <v>5.73</v>
      </c>
      <c r="M612" s="711">
        <v>165</v>
      </c>
      <c r="N612" s="711">
        <v>148</v>
      </c>
      <c r="O612" s="712">
        <v>180</v>
      </c>
    </row>
    <row r="613" spans="1:15" s="86" customFormat="1" ht="15" x14ac:dyDescent="0.25">
      <c r="A613" s="1287"/>
      <c r="B613" s="87" t="s">
        <v>841</v>
      </c>
      <c r="C613" s="88">
        <v>146</v>
      </c>
      <c r="D613" s="711">
        <v>87.31</v>
      </c>
      <c r="E613" s="711">
        <v>6.29</v>
      </c>
      <c r="F613" s="711">
        <v>87</v>
      </c>
      <c r="G613" s="711">
        <v>64</v>
      </c>
      <c r="H613" s="711">
        <v>103</v>
      </c>
      <c r="I613" s="711"/>
      <c r="J613" s="717">
        <v>288</v>
      </c>
      <c r="K613" s="711">
        <v>77.12</v>
      </c>
      <c r="L613" s="711">
        <v>6.57</v>
      </c>
      <c r="M613" s="711">
        <v>77</v>
      </c>
      <c r="N613" s="711">
        <v>59</v>
      </c>
      <c r="O613" s="712">
        <v>99</v>
      </c>
    </row>
    <row r="614" spans="1:15" s="86" customFormat="1" ht="15" x14ac:dyDescent="0.25">
      <c r="A614" s="1287"/>
      <c r="B614" s="87" t="s">
        <v>843</v>
      </c>
      <c r="C614" s="88">
        <v>146</v>
      </c>
      <c r="D614" s="711">
        <v>95.07</v>
      </c>
      <c r="E614" s="711">
        <v>5.29</v>
      </c>
      <c r="F614" s="711">
        <v>95.75</v>
      </c>
      <c r="G614" s="711">
        <v>80</v>
      </c>
      <c r="H614" s="711">
        <v>108</v>
      </c>
      <c r="I614" s="711"/>
      <c r="J614" s="717">
        <v>288</v>
      </c>
      <c r="K614" s="711">
        <v>91.87</v>
      </c>
      <c r="L614" s="711">
        <v>6.25</v>
      </c>
      <c r="M614" s="711">
        <v>92</v>
      </c>
      <c r="N614" s="711">
        <v>71</v>
      </c>
      <c r="O614" s="712">
        <v>113</v>
      </c>
    </row>
    <row r="615" spans="1:15" s="86" customFormat="1" ht="15" x14ac:dyDescent="0.25">
      <c r="A615" s="1288"/>
      <c r="B615" s="89" t="s">
        <v>844</v>
      </c>
      <c r="C615" s="90">
        <v>146</v>
      </c>
      <c r="D615" s="98">
        <v>0.92</v>
      </c>
      <c r="E615" s="98">
        <v>0.05</v>
      </c>
      <c r="F615" s="98">
        <v>0.92</v>
      </c>
      <c r="G615" s="98">
        <v>0.74</v>
      </c>
      <c r="H615" s="98">
        <v>1.04</v>
      </c>
      <c r="I615" s="98"/>
      <c r="J615" s="718">
        <v>288</v>
      </c>
      <c r="K615" s="98">
        <v>0.84</v>
      </c>
      <c r="L615" s="98">
        <v>0.06</v>
      </c>
      <c r="M615" s="98">
        <v>0.84</v>
      </c>
      <c r="N615" s="98">
        <v>0.63</v>
      </c>
      <c r="O615" s="99">
        <v>1.03</v>
      </c>
    </row>
    <row r="616" spans="1:15" s="86" customFormat="1" ht="15" x14ac:dyDescent="0.25">
      <c r="A616" s="1286" t="s">
        <v>631</v>
      </c>
      <c r="B616" s="855" t="s">
        <v>837</v>
      </c>
      <c r="C616" s="856" t="s">
        <v>842</v>
      </c>
      <c r="D616" s="857" t="s">
        <v>842</v>
      </c>
      <c r="E616" s="857" t="s">
        <v>842</v>
      </c>
      <c r="F616" s="857" t="s">
        <v>842</v>
      </c>
      <c r="G616" s="857" t="s">
        <v>842</v>
      </c>
      <c r="H616" s="857" t="s">
        <v>842</v>
      </c>
      <c r="I616" s="857"/>
      <c r="J616" s="858">
        <v>19930</v>
      </c>
      <c r="K616" s="857">
        <v>54.74</v>
      </c>
      <c r="L616" s="857">
        <v>7.0480500199999998</v>
      </c>
      <c r="M616" s="857">
        <v>53.04</v>
      </c>
      <c r="N616" s="857">
        <v>38.71</v>
      </c>
      <c r="O616" s="710">
        <v>89.89</v>
      </c>
    </row>
    <row r="617" spans="1:15" s="86" customFormat="1" ht="15" x14ac:dyDescent="0.25">
      <c r="A617" s="1287"/>
      <c r="B617" s="87" t="s">
        <v>838</v>
      </c>
      <c r="C617" s="88" t="s">
        <v>842</v>
      </c>
      <c r="D617" s="711" t="s">
        <v>842</v>
      </c>
      <c r="E617" s="711" t="s">
        <v>842</v>
      </c>
      <c r="F617" s="711" t="s">
        <v>842</v>
      </c>
      <c r="G617" s="711" t="s">
        <v>842</v>
      </c>
      <c r="H617" s="711" t="s">
        <v>842</v>
      </c>
      <c r="I617" s="711"/>
      <c r="J617" s="717">
        <v>19578</v>
      </c>
      <c r="K617" s="711">
        <v>25.71</v>
      </c>
      <c r="L617" s="711">
        <v>4.8207103099999999</v>
      </c>
      <c r="M617" s="711">
        <v>24.7</v>
      </c>
      <c r="N617" s="711">
        <v>14.23</v>
      </c>
      <c r="O617" s="712">
        <v>59.58</v>
      </c>
    </row>
    <row r="618" spans="1:15" s="86" customFormat="1" ht="15" x14ac:dyDescent="0.25">
      <c r="A618" s="1287"/>
      <c r="B618" s="87" t="s">
        <v>839</v>
      </c>
      <c r="C618" s="88" t="s">
        <v>842</v>
      </c>
      <c r="D618" s="711" t="s">
        <v>842</v>
      </c>
      <c r="E618" s="711" t="s">
        <v>842</v>
      </c>
      <c r="F618" s="711" t="s">
        <v>842</v>
      </c>
      <c r="G618" s="711" t="s">
        <v>842</v>
      </c>
      <c r="H618" s="711" t="s">
        <v>842</v>
      </c>
      <c r="I618" s="711"/>
      <c r="J618" s="717">
        <v>19708</v>
      </c>
      <c r="K618" s="711">
        <v>69.45</v>
      </c>
      <c r="L618" s="711">
        <v>13.76986645</v>
      </c>
      <c r="M618" s="711">
        <v>67.13</v>
      </c>
      <c r="N618" s="711">
        <v>38.56</v>
      </c>
      <c r="O618" s="712">
        <v>158.80000000000001</v>
      </c>
    </row>
    <row r="619" spans="1:15" s="86" customFormat="1" ht="15" x14ac:dyDescent="0.25">
      <c r="A619" s="1287"/>
      <c r="B619" s="87" t="s">
        <v>840</v>
      </c>
      <c r="C619" s="88" t="s">
        <v>842</v>
      </c>
      <c r="D619" s="711" t="s">
        <v>842</v>
      </c>
      <c r="E619" s="711" t="s">
        <v>842</v>
      </c>
      <c r="F619" s="711" t="s">
        <v>842</v>
      </c>
      <c r="G619" s="711" t="s">
        <v>842</v>
      </c>
      <c r="H619" s="711" t="s">
        <v>842</v>
      </c>
      <c r="I619" s="711"/>
      <c r="J619" s="717">
        <v>19766</v>
      </c>
      <c r="K619" s="711">
        <v>164.4</v>
      </c>
      <c r="L619" s="711">
        <v>6.2643432099999998</v>
      </c>
      <c r="M619" s="711">
        <v>165.1</v>
      </c>
      <c r="N619" s="711">
        <v>129.5</v>
      </c>
      <c r="O619" s="712">
        <v>200.7</v>
      </c>
    </row>
    <row r="620" spans="1:15" s="86" customFormat="1" ht="15" x14ac:dyDescent="0.25">
      <c r="A620" s="1287"/>
      <c r="B620" s="87" t="s">
        <v>841</v>
      </c>
      <c r="C620" s="88" t="s">
        <v>842</v>
      </c>
      <c r="D620" s="711" t="s">
        <v>842</v>
      </c>
      <c r="E620" s="711" t="s">
        <v>842</v>
      </c>
      <c r="F620" s="711" t="s">
        <v>842</v>
      </c>
      <c r="G620" s="711" t="s">
        <v>842</v>
      </c>
      <c r="H620" s="711" t="s">
        <v>842</v>
      </c>
      <c r="I620" s="711"/>
      <c r="J620" s="717">
        <v>19930</v>
      </c>
      <c r="K620" s="711">
        <v>88.85</v>
      </c>
      <c r="L620" s="711">
        <v>14.31037911</v>
      </c>
      <c r="M620" s="711">
        <v>86.36</v>
      </c>
      <c r="N620" s="711">
        <v>38.1</v>
      </c>
      <c r="O620" s="712">
        <v>167.6</v>
      </c>
    </row>
    <row r="621" spans="1:15" s="86" customFormat="1" ht="15" x14ac:dyDescent="0.25">
      <c r="A621" s="1287"/>
      <c r="B621" s="87" t="s">
        <v>843</v>
      </c>
      <c r="C621" s="88" t="s">
        <v>842</v>
      </c>
      <c r="D621" s="711" t="s">
        <v>842</v>
      </c>
      <c r="E621" s="711" t="s">
        <v>842</v>
      </c>
      <c r="F621" s="711" t="s">
        <v>842</v>
      </c>
      <c r="G621" s="711" t="s">
        <v>842</v>
      </c>
      <c r="H621" s="711" t="s">
        <v>842</v>
      </c>
      <c r="I621" s="711"/>
      <c r="J621" s="717">
        <v>19930</v>
      </c>
      <c r="K621" s="711">
        <v>106.3</v>
      </c>
      <c r="L621" s="711">
        <v>12.05991176</v>
      </c>
      <c r="M621" s="711">
        <v>104.1</v>
      </c>
      <c r="N621" s="711">
        <v>50.8</v>
      </c>
      <c r="O621" s="712">
        <v>193</v>
      </c>
    </row>
    <row r="622" spans="1:15" s="86" customFormat="1" ht="15" x14ac:dyDescent="0.25">
      <c r="A622" s="1288"/>
      <c r="B622" s="89" t="s">
        <v>844</v>
      </c>
      <c r="C622" s="90" t="s">
        <v>842</v>
      </c>
      <c r="D622" s="98" t="s">
        <v>842</v>
      </c>
      <c r="E622" s="98" t="s">
        <v>842</v>
      </c>
      <c r="F622" s="98" t="s">
        <v>842</v>
      </c>
      <c r="G622" s="98" t="s">
        <v>842</v>
      </c>
      <c r="H622" s="98" t="s">
        <v>842</v>
      </c>
      <c r="I622" s="98"/>
      <c r="J622" s="718">
        <v>19930</v>
      </c>
      <c r="K622" s="98">
        <v>0.83409999999999995</v>
      </c>
      <c r="L622" s="98">
        <v>7.9085420000000003E-2</v>
      </c>
      <c r="M622" s="98">
        <v>0.82899999999999996</v>
      </c>
      <c r="N622" s="98">
        <v>0.33300000000000002</v>
      </c>
      <c r="O622" s="99">
        <v>1.9259999999999999</v>
      </c>
    </row>
    <row r="623" spans="1:15" s="86" customFormat="1" ht="15" x14ac:dyDescent="0.25">
      <c r="A623" s="1286" t="s">
        <v>883</v>
      </c>
      <c r="B623" s="855" t="s">
        <v>837</v>
      </c>
      <c r="C623" s="856" t="s">
        <v>842</v>
      </c>
      <c r="D623" s="857" t="s">
        <v>842</v>
      </c>
      <c r="E623" s="857" t="s">
        <v>842</v>
      </c>
      <c r="F623" s="857" t="s">
        <v>842</v>
      </c>
      <c r="G623" s="857" t="s">
        <v>842</v>
      </c>
      <c r="H623" s="857" t="s">
        <v>842</v>
      </c>
      <c r="I623" s="857"/>
      <c r="J623" s="858">
        <v>3519</v>
      </c>
      <c r="K623" s="857">
        <v>64.900000000000006</v>
      </c>
      <c r="L623" s="857">
        <v>6.6</v>
      </c>
      <c r="M623" s="857">
        <v>65</v>
      </c>
      <c r="N623" s="857">
        <v>50</v>
      </c>
      <c r="O623" s="710">
        <v>79</v>
      </c>
    </row>
    <row r="624" spans="1:15" s="86" customFormat="1" ht="15" x14ac:dyDescent="0.25">
      <c r="A624" s="1287"/>
      <c r="B624" s="87" t="s">
        <v>838</v>
      </c>
      <c r="C624" s="88" t="s">
        <v>842</v>
      </c>
      <c r="D624" s="711" t="s">
        <v>842</v>
      </c>
      <c r="E624" s="711" t="s">
        <v>842</v>
      </c>
      <c r="F624" s="711" t="s">
        <v>842</v>
      </c>
      <c r="G624" s="711" t="s">
        <v>842</v>
      </c>
      <c r="H624" s="711" t="s">
        <v>842</v>
      </c>
      <c r="I624" s="711"/>
      <c r="J624" s="717">
        <v>3519</v>
      </c>
      <c r="K624" s="711">
        <v>30.6</v>
      </c>
      <c r="L624" s="711">
        <v>6.2</v>
      </c>
      <c r="M624" s="711">
        <v>29.8</v>
      </c>
      <c r="N624" s="711">
        <v>15.8</v>
      </c>
      <c r="O624" s="712">
        <v>141</v>
      </c>
    </row>
    <row r="625" spans="1:15" s="86" customFormat="1" ht="15" x14ac:dyDescent="0.25">
      <c r="A625" s="1287"/>
      <c r="B625" s="87" t="s">
        <v>839</v>
      </c>
      <c r="C625" s="88" t="s">
        <v>842</v>
      </c>
      <c r="D625" s="711" t="s">
        <v>842</v>
      </c>
      <c r="E625" s="711" t="s">
        <v>842</v>
      </c>
      <c r="F625" s="711" t="s">
        <v>842</v>
      </c>
      <c r="G625" s="711" t="s">
        <v>842</v>
      </c>
      <c r="H625" s="711" t="s">
        <v>842</v>
      </c>
      <c r="I625" s="711"/>
      <c r="J625" s="717">
        <v>3515</v>
      </c>
      <c r="K625" s="711">
        <v>80.599999999999994</v>
      </c>
      <c r="L625" s="711">
        <v>17.100000000000001</v>
      </c>
      <c r="M625" s="711">
        <v>78.2</v>
      </c>
      <c r="N625" s="711">
        <v>42.6</v>
      </c>
      <c r="O625" s="712">
        <v>171.5</v>
      </c>
    </row>
    <row r="626" spans="1:15" s="86" customFormat="1" ht="15" x14ac:dyDescent="0.25">
      <c r="A626" s="1287"/>
      <c r="B626" s="87" t="s">
        <v>840</v>
      </c>
      <c r="C626" s="88" t="s">
        <v>842</v>
      </c>
      <c r="D626" s="711" t="s">
        <v>842</v>
      </c>
      <c r="E626" s="711" t="s">
        <v>842</v>
      </c>
      <c r="F626" s="711" t="s">
        <v>842</v>
      </c>
      <c r="G626" s="711" t="s">
        <v>842</v>
      </c>
      <c r="H626" s="711" t="s">
        <v>842</v>
      </c>
      <c r="I626" s="711"/>
      <c r="J626" s="717">
        <v>3502</v>
      </c>
      <c r="K626" s="711">
        <v>162</v>
      </c>
      <c r="L626" s="711">
        <v>6.6</v>
      </c>
      <c r="M626" s="711">
        <v>162</v>
      </c>
      <c r="N626" s="711">
        <v>101.2</v>
      </c>
      <c r="O626" s="712">
        <v>194.1</v>
      </c>
    </row>
    <row r="627" spans="1:15" s="86" customFormat="1" ht="15" x14ac:dyDescent="0.25">
      <c r="A627" s="1287"/>
      <c r="B627" s="87" t="s">
        <v>841</v>
      </c>
      <c r="C627" s="88" t="s">
        <v>842</v>
      </c>
      <c r="D627" s="711" t="s">
        <v>842</v>
      </c>
      <c r="E627" s="711" t="s">
        <v>842</v>
      </c>
      <c r="F627" s="711" t="s">
        <v>842</v>
      </c>
      <c r="G627" s="711" t="s">
        <v>842</v>
      </c>
      <c r="H627" s="711" t="s">
        <v>842</v>
      </c>
      <c r="I627" s="711"/>
      <c r="J627" s="717">
        <v>3513</v>
      </c>
      <c r="K627" s="711">
        <v>90.9</v>
      </c>
      <c r="L627" s="711">
        <v>13</v>
      </c>
      <c r="M627" s="711">
        <v>90</v>
      </c>
      <c r="N627" s="711">
        <v>35.5</v>
      </c>
      <c r="O627" s="712">
        <v>161.69999999999999</v>
      </c>
    </row>
    <row r="628" spans="1:15" s="86" customFormat="1" ht="15" x14ac:dyDescent="0.25">
      <c r="A628" s="1287"/>
      <c r="B628" s="87" t="s">
        <v>843</v>
      </c>
      <c r="C628" s="88" t="s">
        <v>842</v>
      </c>
      <c r="D628" s="711" t="s">
        <v>842</v>
      </c>
      <c r="E628" s="711" t="s">
        <v>842</v>
      </c>
      <c r="F628" s="711" t="s">
        <v>842</v>
      </c>
      <c r="G628" s="711" t="s">
        <v>842</v>
      </c>
      <c r="H628" s="711" t="s">
        <v>842</v>
      </c>
      <c r="I628" s="711"/>
      <c r="J628" s="717">
        <v>3512</v>
      </c>
      <c r="K628" s="711">
        <v>110.2</v>
      </c>
      <c r="L628" s="711">
        <v>12.5</v>
      </c>
      <c r="M628" s="711">
        <v>109</v>
      </c>
      <c r="N628" s="711">
        <v>43.5</v>
      </c>
      <c r="O628" s="712">
        <v>170.5</v>
      </c>
    </row>
    <row r="629" spans="1:15" s="86" customFormat="1" ht="15" x14ac:dyDescent="0.25">
      <c r="A629" s="1288"/>
      <c r="B629" s="89" t="s">
        <v>844</v>
      </c>
      <c r="C629" s="90" t="s">
        <v>842</v>
      </c>
      <c r="D629" s="98" t="s">
        <v>842</v>
      </c>
      <c r="E629" s="98" t="s">
        <v>842</v>
      </c>
      <c r="F629" s="98" t="s">
        <v>842</v>
      </c>
      <c r="G629" s="98" t="s">
        <v>842</v>
      </c>
      <c r="H629" s="98" t="s">
        <v>842</v>
      </c>
      <c r="I629" s="98"/>
      <c r="J629" s="718">
        <v>3510</v>
      </c>
      <c r="K629" s="98">
        <v>0.82450000000000001</v>
      </c>
      <c r="L629" s="98">
        <v>7.8364950000000003E-2</v>
      </c>
      <c r="M629" s="98">
        <v>0.82289999999999996</v>
      </c>
      <c r="N629" s="98">
        <v>0.28149999999999997</v>
      </c>
      <c r="O629" s="99">
        <v>1.4419999999999999</v>
      </c>
    </row>
    <row r="630" spans="1:15" s="86" customFormat="1" ht="15" x14ac:dyDescent="0.25">
      <c r="A630" s="1286" t="s">
        <v>884</v>
      </c>
      <c r="B630" s="855" t="s">
        <v>837</v>
      </c>
      <c r="C630" s="856" t="s">
        <v>842</v>
      </c>
      <c r="D630" s="857" t="s">
        <v>842</v>
      </c>
      <c r="E630" s="857" t="s">
        <v>842</v>
      </c>
      <c r="F630" s="857" t="s">
        <v>842</v>
      </c>
      <c r="G630" s="857" t="s">
        <v>842</v>
      </c>
      <c r="H630" s="857" t="s">
        <v>842</v>
      </c>
      <c r="I630" s="857"/>
      <c r="J630" s="858">
        <v>21858</v>
      </c>
      <c r="K630" s="857">
        <v>66.2</v>
      </c>
      <c r="L630" s="857">
        <v>6.7</v>
      </c>
      <c r="M630" s="857">
        <v>67</v>
      </c>
      <c r="N630" s="857">
        <v>50</v>
      </c>
      <c r="O630" s="710">
        <v>81</v>
      </c>
    </row>
    <row r="631" spans="1:15" s="86" customFormat="1" ht="15" x14ac:dyDescent="0.25">
      <c r="A631" s="1287"/>
      <c r="B631" s="87" t="s">
        <v>838</v>
      </c>
      <c r="C631" s="88" t="s">
        <v>842</v>
      </c>
      <c r="D631" s="711" t="s">
        <v>842</v>
      </c>
      <c r="E631" s="711" t="s">
        <v>842</v>
      </c>
      <c r="F631" s="711" t="s">
        <v>842</v>
      </c>
      <c r="G631" s="711" t="s">
        <v>842</v>
      </c>
      <c r="H631" s="711" t="s">
        <v>842</v>
      </c>
      <c r="I631" s="711"/>
      <c r="J631" s="717">
        <v>21857</v>
      </c>
      <c r="K631" s="711">
        <v>28.2</v>
      </c>
      <c r="L631" s="711">
        <v>5.9</v>
      </c>
      <c r="M631" s="711">
        <v>27.3</v>
      </c>
      <c r="N631" s="711">
        <v>13.8</v>
      </c>
      <c r="O631" s="712">
        <v>159.69999999999999</v>
      </c>
    </row>
    <row r="632" spans="1:15" s="86" customFormat="1" ht="15" x14ac:dyDescent="0.25">
      <c r="A632" s="1287"/>
      <c r="B632" s="87" t="s">
        <v>839</v>
      </c>
      <c r="C632" s="88" t="s">
        <v>842</v>
      </c>
      <c r="D632" s="711" t="s">
        <v>842</v>
      </c>
      <c r="E632" s="711" t="s">
        <v>842</v>
      </c>
      <c r="F632" s="711" t="s">
        <v>842</v>
      </c>
      <c r="G632" s="711" t="s">
        <v>842</v>
      </c>
      <c r="H632" s="711" t="s">
        <v>842</v>
      </c>
      <c r="I632" s="711"/>
      <c r="J632" s="717">
        <v>21820</v>
      </c>
      <c r="K632" s="711">
        <v>73.900000000000006</v>
      </c>
      <c r="L632" s="711">
        <v>16.2</v>
      </c>
      <c r="M632" s="711">
        <v>71.2</v>
      </c>
      <c r="N632" s="711">
        <v>32</v>
      </c>
      <c r="O632" s="712">
        <v>197.5</v>
      </c>
    </row>
    <row r="633" spans="1:15" s="86" customFormat="1" ht="15" x14ac:dyDescent="0.25">
      <c r="A633" s="1287"/>
      <c r="B633" s="87" t="s">
        <v>840</v>
      </c>
      <c r="C633" s="88" t="s">
        <v>842</v>
      </c>
      <c r="D633" s="711" t="s">
        <v>842</v>
      </c>
      <c r="E633" s="711" t="s">
        <v>842</v>
      </c>
      <c r="F633" s="711" t="s">
        <v>842</v>
      </c>
      <c r="G633" s="711" t="s">
        <v>842</v>
      </c>
      <c r="H633" s="711" t="s">
        <v>842</v>
      </c>
      <c r="I633" s="711"/>
      <c r="J633" s="717">
        <v>21777</v>
      </c>
      <c r="K633" s="711">
        <v>161.5</v>
      </c>
      <c r="L633" s="711">
        <v>6.4</v>
      </c>
      <c r="M633" s="711">
        <v>161.5</v>
      </c>
      <c r="N633" s="711">
        <v>96</v>
      </c>
      <c r="O633" s="712">
        <v>193.7</v>
      </c>
    </row>
    <row r="634" spans="1:15" s="86" customFormat="1" ht="15" x14ac:dyDescent="0.25">
      <c r="A634" s="1287"/>
      <c r="B634" s="87" t="s">
        <v>841</v>
      </c>
      <c r="C634" s="88" t="s">
        <v>842</v>
      </c>
      <c r="D634" s="711" t="s">
        <v>842</v>
      </c>
      <c r="E634" s="711" t="s">
        <v>842</v>
      </c>
      <c r="F634" s="711" t="s">
        <v>842</v>
      </c>
      <c r="G634" s="711" t="s">
        <v>842</v>
      </c>
      <c r="H634" s="711" t="s">
        <v>842</v>
      </c>
      <c r="I634" s="711"/>
      <c r="J634" s="717">
        <v>21791</v>
      </c>
      <c r="K634" s="711">
        <v>87.9</v>
      </c>
      <c r="L634" s="711">
        <v>13.9</v>
      </c>
      <c r="M634" s="711">
        <v>86</v>
      </c>
      <c r="N634" s="711">
        <v>35.5</v>
      </c>
      <c r="O634" s="712">
        <v>191.8</v>
      </c>
    </row>
    <row r="635" spans="1:15" s="86" customFormat="1" ht="15" x14ac:dyDescent="0.25">
      <c r="A635" s="1287"/>
      <c r="B635" s="87" t="s">
        <v>843</v>
      </c>
      <c r="C635" s="88" t="s">
        <v>842</v>
      </c>
      <c r="D635" s="711" t="s">
        <v>842</v>
      </c>
      <c r="E635" s="711" t="s">
        <v>842</v>
      </c>
      <c r="F635" s="711" t="s">
        <v>842</v>
      </c>
      <c r="G635" s="711" t="s">
        <v>842</v>
      </c>
      <c r="H635" s="711" t="s">
        <v>842</v>
      </c>
      <c r="I635" s="711"/>
      <c r="J635" s="717">
        <v>21780</v>
      </c>
      <c r="K635" s="711">
        <v>107</v>
      </c>
      <c r="L635" s="711">
        <v>12.2</v>
      </c>
      <c r="M635" s="711">
        <v>105</v>
      </c>
      <c r="N635" s="711">
        <v>42</v>
      </c>
      <c r="O635" s="712">
        <v>196.5</v>
      </c>
    </row>
    <row r="636" spans="1:15" s="86" customFormat="1" ht="15" x14ac:dyDescent="0.25">
      <c r="A636" s="1288"/>
      <c r="B636" s="89" t="s">
        <v>844</v>
      </c>
      <c r="C636" s="90" t="s">
        <v>842</v>
      </c>
      <c r="D636" s="98" t="s">
        <v>842</v>
      </c>
      <c r="E636" s="98" t="s">
        <v>842</v>
      </c>
      <c r="F636" s="98" t="s">
        <v>842</v>
      </c>
      <c r="G636" s="98" t="s">
        <v>842</v>
      </c>
      <c r="H636" s="98" t="s">
        <v>842</v>
      </c>
      <c r="I636" s="98"/>
      <c r="J636" s="718">
        <v>21773</v>
      </c>
      <c r="K636" s="98">
        <v>0.82069999999999999</v>
      </c>
      <c r="L636" s="98">
        <v>8.1021979999999993E-2</v>
      </c>
      <c r="M636" s="98">
        <v>0.81420000000000003</v>
      </c>
      <c r="N636" s="98">
        <v>0.31090000000000001</v>
      </c>
      <c r="O636" s="99">
        <v>2.4900000000000002</v>
      </c>
    </row>
    <row r="637" spans="1:15" s="86" customFormat="1" ht="15" x14ac:dyDescent="0.25">
      <c r="A637" s="1286" t="s">
        <v>641</v>
      </c>
      <c r="B637" s="855" t="s">
        <v>837</v>
      </c>
      <c r="C637" s="856">
        <v>1165</v>
      </c>
      <c r="D637" s="857">
        <v>52.458025751073002</v>
      </c>
      <c r="E637" s="857">
        <v>10.124417401219301</v>
      </c>
      <c r="F637" s="857">
        <v>53</v>
      </c>
      <c r="G637" s="857">
        <v>20.9</v>
      </c>
      <c r="H637" s="857">
        <v>87</v>
      </c>
      <c r="I637" s="857"/>
      <c r="J637" s="858">
        <v>851</v>
      </c>
      <c r="K637" s="857">
        <v>52.986251468860203</v>
      </c>
      <c r="L637" s="857">
        <v>11.024275670067</v>
      </c>
      <c r="M637" s="857">
        <v>54</v>
      </c>
      <c r="N637" s="857">
        <v>23.38</v>
      </c>
      <c r="O637" s="710">
        <v>83.35</v>
      </c>
    </row>
    <row r="638" spans="1:15" s="86" customFormat="1" ht="15" x14ac:dyDescent="0.25">
      <c r="A638" s="1287"/>
      <c r="B638" s="87" t="s">
        <v>838</v>
      </c>
      <c r="C638" s="88">
        <v>1165</v>
      </c>
      <c r="D638" s="711">
        <v>30.461010290557901</v>
      </c>
      <c r="E638" s="711">
        <v>5.5535800711208996</v>
      </c>
      <c r="F638" s="711">
        <v>29.704000000000001</v>
      </c>
      <c r="G638" s="711">
        <v>16.8</v>
      </c>
      <c r="H638" s="711">
        <v>60.3</v>
      </c>
      <c r="I638" s="711"/>
      <c r="J638" s="717">
        <v>850</v>
      </c>
      <c r="K638" s="711">
        <v>32.895095858294098</v>
      </c>
      <c r="L638" s="711">
        <v>7.2093180384581901</v>
      </c>
      <c r="M638" s="711">
        <v>31.95</v>
      </c>
      <c r="N638" s="711">
        <v>17.899999999999999</v>
      </c>
      <c r="O638" s="712">
        <v>65.157750340000007</v>
      </c>
    </row>
    <row r="639" spans="1:15" s="86" customFormat="1" ht="15" x14ac:dyDescent="0.25">
      <c r="A639" s="1287"/>
      <c r="B639" s="87" t="s">
        <v>839</v>
      </c>
      <c r="C639" s="88">
        <v>1165</v>
      </c>
      <c r="D639" s="711">
        <v>94.1562309012876</v>
      </c>
      <c r="E639" s="711">
        <v>18.705694059436301</v>
      </c>
      <c r="F639" s="711">
        <v>92.080799999999996</v>
      </c>
      <c r="G639" s="711">
        <v>47.628</v>
      </c>
      <c r="H639" s="711">
        <v>190.512</v>
      </c>
      <c r="I639" s="711"/>
      <c r="J639" s="717">
        <v>850</v>
      </c>
      <c r="K639" s="711">
        <v>85.8435058823529</v>
      </c>
      <c r="L639" s="711">
        <v>20.453337428041799</v>
      </c>
      <c r="M639" s="711">
        <v>82.555199999999999</v>
      </c>
      <c r="N639" s="711">
        <v>43</v>
      </c>
      <c r="O639" s="712">
        <v>171</v>
      </c>
    </row>
    <row r="640" spans="1:15" s="86" customFormat="1" ht="15" x14ac:dyDescent="0.25">
      <c r="A640" s="1287"/>
      <c r="B640" s="87" t="s">
        <v>840</v>
      </c>
      <c r="C640" s="88">
        <v>1165</v>
      </c>
      <c r="D640" s="711">
        <v>175.665350214592</v>
      </c>
      <c r="E640" s="711">
        <v>7.2267529426250103</v>
      </c>
      <c r="F640" s="711">
        <v>175.26</v>
      </c>
      <c r="G640" s="711">
        <v>150</v>
      </c>
      <c r="H640" s="711">
        <v>220</v>
      </c>
      <c r="I640" s="711"/>
      <c r="J640" s="717">
        <v>851</v>
      </c>
      <c r="K640" s="711">
        <v>161.34419506462999</v>
      </c>
      <c r="L640" s="711">
        <v>6.6360366736230203</v>
      </c>
      <c r="M640" s="711">
        <v>161</v>
      </c>
      <c r="N640" s="711">
        <v>139</v>
      </c>
      <c r="O640" s="712">
        <v>180.34</v>
      </c>
    </row>
    <row r="641" spans="1:15" s="86" customFormat="1" ht="15" x14ac:dyDescent="0.25">
      <c r="A641" s="1287"/>
      <c r="B641" s="87" t="s">
        <v>841</v>
      </c>
      <c r="C641" s="88">
        <v>1144</v>
      </c>
      <c r="D641" s="711">
        <v>106.826687062937</v>
      </c>
      <c r="E641" s="711">
        <v>14.062802617145399</v>
      </c>
      <c r="F641" s="711">
        <v>105</v>
      </c>
      <c r="G641" s="711">
        <v>71.12</v>
      </c>
      <c r="H641" s="711">
        <v>200.66</v>
      </c>
      <c r="I641" s="711"/>
      <c r="J641" s="717">
        <v>835</v>
      </c>
      <c r="K641" s="711">
        <v>102.541263473054</v>
      </c>
      <c r="L641" s="711">
        <v>15.674863444229601</v>
      </c>
      <c r="M641" s="711">
        <v>101</v>
      </c>
      <c r="N641" s="711">
        <v>66.040000000000006</v>
      </c>
      <c r="O641" s="712">
        <v>172</v>
      </c>
    </row>
    <row r="642" spans="1:15" s="86" customFormat="1" ht="15" x14ac:dyDescent="0.25">
      <c r="A642" s="1287"/>
      <c r="B642" s="87" t="s">
        <v>843</v>
      </c>
      <c r="C642" s="88">
        <v>1144</v>
      </c>
      <c r="D642" s="711">
        <v>109.168164335664</v>
      </c>
      <c r="E642" s="711">
        <v>11.4892267977621</v>
      </c>
      <c r="F642" s="711">
        <v>108</v>
      </c>
      <c r="G642" s="711">
        <v>78.7</v>
      </c>
      <c r="H642" s="711">
        <v>215.9</v>
      </c>
      <c r="I642" s="711"/>
      <c r="J642" s="717">
        <v>835</v>
      </c>
      <c r="K642" s="711">
        <v>115.151269461078</v>
      </c>
      <c r="L642" s="711">
        <v>15.3074045284799</v>
      </c>
      <c r="M642" s="711">
        <v>114</v>
      </c>
      <c r="N642" s="711">
        <v>71</v>
      </c>
      <c r="O642" s="712">
        <v>177</v>
      </c>
    </row>
    <row r="643" spans="1:15" s="86" customFormat="1" ht="15" x14ac:dyDescent="0.25">
      <c r="A643" s="1288"/>
      <c r="B643" s="89" t="s">
        <v>844</v>
      </c>
      <c r="C643" s="90">
        <v>1144</v>
      </c>
      <c r="D643" s="98">
        <v>0.97789380173513996</v>
      </c>
      <c r="E643" s="98">
        <v>6.8609920194015794E-2</v>
      </c>
      <c r="F643" s="98">
        <v>1</v>
      </c>
      <c r="G643" s="98">
        <v>0.77777777800000003</v>
      </c>
      <c r="H643" s="98">
        <v>1.2749999999999999</v>
      </c>
      <c r="I643" s="98"/>
      <c r="J643" s="718">
        <v>835</v>
      </c>
      <c r="K643" s="98">
        <v>0.89157360180718603</v>
      </c>
      <c r="L643" s="98">
        <v>7.4485696979232699E-2</v>
      </c>
      <c r="M643" s="98">
        <v>0.9</v>
      </c>
      <c r="N643" s="98">
        <v>0.7</v>
      </c>
      <c r="O643" s="99">
        <v>1.2244897960000001</v>
      </c>
    </row>
    <row r="644" spans="1:15" s="86" customFormat="1" ht="15" x14ac:dyDescent="0.25">
      <c r="A644" s="1286" t="s">
        <v>644</v>
      </c>
      <c r="B644" s="855" t="s">
        <v>837</v>
      </c>
      <c r="C644" s="856">
        <v>851</v>
      </c>
      <c r="D644" s="857">
        <v>41.896592244418301</v>
      </c>
      <c r="E644" s="857">
        <v>5.0177215496687699</v>
      </c>
      <c r="F644" s="857">
        <v>43</v>
      </c>
      <c r="G644" s="857">
        <v>34</v>
      </c>
      <c r="H644" s="857">
        <v>49</v>
      </c>
      <c r="I644" s="857"/>
      <c r="J644" s="858">
        <v>1042</v>
      </c>
      <c r="K644" s="857">
        <v>42.058541266794599</v>
      </c>
      <c r="L644" s="857">
        <v>4.9379851548729796</v>
      </c>
      <c r="M644" s="857">
        <v>43</v>
      </c>
      <c r="N644" s="857">
        <v>34</v>
      </c>
      <c r="O644" s="710">
        <v>49</v>
      </c>
    </row>
    <row r="645" spans="1:15" s="86" customFormat="1" ht="15" x14ac:dyDescent="0.25">
      <c r="A645" s="1287"/>
      <c r="B645" s="87" t="s">
        <v>838</v>
      </c>
      <c r="C645" s="88">
        <v>851</v>
      </c>
      <c r="D645" s="711">
        <v>26.982364131619899</v>
      </c>
      <c r="E645" s="711">
        <v>4.3383405934340296</v>
      </c>
      <c r="F645" s="711">
        <v>26.264943847361401</v>
      </c>
      <c r="G645" s="711">
        <v>16.207886066532001</v>
      </c>
      <c r="H645" s="711">
        <v>50.985444477947397</v>
      </c>
      <c r="I645" s="711"/>
      <c r="J645" s="717">
        <v>1042</v>
      </c>
      <c r="K645" s="711">
        <v>26.1025887355385</v>
      </c>
      <c r="L645" s="711">
        <v>5.4900711887301998</v>
      </c>
      <c r="M645" s="711">
        <v>25.039918710988498</v>
      </c>
      <c r="N645" s="711">
        <v>16.4939581914016</v>
      </c>
      <c r="O645" s="712">
        <v>58.471342039844501</v>
      </c>
    </row>
    <row r="646" spans="1:15" s="86" customFormat="1" ht="15" x14ac:dyDescent="0.25">
      <c r="A646" s="1287"/>
      <c r="B646" s="87" t="s">
        <v>839</v>
      </c>
      <c r="C646" s="88">
        <v>851</v>
      </c>
      <c r="D646" s="711">
        <v>87.283196239717995</v>
      </c>
      <c r="E646" s="711">
        <v>15.806653465298499</v>
      </c>
      <c r="F646" s="711">
        <v>85</v>
      </c>
      <c r="G646" s="711">
        <v>54</v>
      </c>
      <c r="H646" s="711">
        <v>186</v>
      </c>
      <c r="I646" s="711"/>
      <c r="J646" s="717">
        <v>1042</v>
      </c>
      <c r="K646" s="711">
        <v>71.959692898272607</v>
      </c>
      <c r="L646" s="711">
        <v>15.3397109205349</v>
      </c>
      <c r="M646" s="711">
        <v>69</v>
      </c>
      <c r="N646" s="711">
        <v>43</v>
      </c>
      <c r="O646" s="712">
        <v>167</v>
      </c>
    </row>
    <row r="647" spans="1:15" s="86" customFormat="1" ht="15" x14ac:dyDescent="0.25">
      <c r="A647" s="1287"/>
      <c r="B647" s="87" t="s">
        <v>840</v>
      </c>
      <c r="C647" s="88">
        <v>851</v>
      </c>
      <c r="D647" s="711">
        <v>179.70270270270299</v>
      </c>
      <c r="E647" s="711">
        <v>6.7006394588421703</v>
      </c>
      <c r="F647" s="711">
        <v>180</v>
      </c>
      <c r="G647" s="711">
        <v>156</v>
      </c>
      <c r="H647" s="711">
        <v>203</v>
      </c>
      <c r="I647" s="711"/>
      <c r="J647" s="717">
        <v>1042</v>
      </c>
      <c r="K647" s="711">
        <v>166.08733205374301</v>
      </c>
      <c r="L647" s="711">
        <v>6.0002443740747902</v>
      </c>
      <c r="M647" s="711">
        <v>166</v>
      </c>
      <c r="N647" s="711">
        <v>148</v>
      </c>
      <c r="O647" s="712">
        <v>191</v>
      </c>
    </row>
    <row r="648" spans="1:15" s="86" customFormat="1" ht="15" x14ac:dyDescent="0.25">
      <c r="A648" s="1287"/>
      <c r="B648" s="87" t="s">
        <v>841</v>
      </c>
      <c r="C648" s="88">
        <v>851</v>
      </c>
      <c r="D648" s="711">
        <v>96.756698002350205</v>
      </c>
      <c r="E648" s="711">
        <v>12.456447979277799</v>
      </c>
      <c r="F648" s="711">
        <v>95.3</v>
      </c>
      <c r="G648" s="711">
        <v>68.95</v>
      </c>
      <c r="H648" s="711">
        <v>160.4</v>
      </c>
      <c r="I648" s="711"/>
      <c r="J648" s="717">
        <v>1042</v>
      </c>
      <c r="K648" s="711">
        <v>87.583733205374301</v>
      </c>
      <c r="L648" s="711">
        <v>14.020020739460399</v>
      </c>
      <c r="M648" s="711">
        <v>85.3</v>
      </c>
      <c r="N648" s="711">
        <v>61.1</v>
      </c>
      <c r="O648" s="712">
        <v>145.69999999999999</v>
      </c>
    </row>
    <row r="649" spans="1:15" s="86" customFormat="1" ht="15" x14ac:dyDescent="0.25">
      <c r="A649" s="1287"/>
      <c r="B649" s="87" t="s">
        <v>843</v>
      </c>
      <c r="C649" s="88">
        <v>851</v>
      </c>
      <c r="D649" s="711">
        <v>101.12238542890699</v>
      </c>
      <c r="E649" s="711">
        <v>7.5258609870998896</v>
      </c>
      <c r="F649" s="711">
        <v>100.5</v>
      </c>
      <c r="G649" s="711">
        <v>85</v>
      </c>
      <c r="H649" s="711">
        <v>149.69999999999999</v>
      </c>
      <c r="I649" s="711"/>
      <c r="J649" s="717">
        <v>1042</v>
      </c>
      <c r="K649" s="711">
        <v>102.03627639155501</v>
      </c>
      <c r="L649" s="711">
        <v>10.2040459640716</v>
      </c>
      <c r="M649" s="711">
        <v>100.45</v>
      </c>
      <c r="N649" s="711">
        <v>79.400000000000006</v>
      </c>
      <c r="O649" s="712">
        <v>167.25</v>
      </c>
    </row>
    <row r="650" spans="1:15" s="86" customFormat="1" ht="15" x14ac:dyDescent="0.25">
      <c r="A650" s="1288"/>
      <c r="B650" s="89" t="s">
        <v>844</v>
      </c>
      <c r="C650" s="90">
        <v>851</v>
      </c>
      <c r="D650" s="98">
        <v>0.95454431596768197</v>
      </c>
      <c r="E650" s="98">
        <v>7.2254929772832405E-2</v>
      </c>
      <c r="F650" s="98">
        <v>0.95359116022099399</v>
      </c>
      <c r="G650" s="98">
        <v>0.73431922488526302</v>
      </c>
      <c r="H650" s="98">
        <v>1.1963141025641</v>
      </c>
      <c r="I650" s="98"/>
      <c r="J650" s="718">
        <v>1042</v>
      </c>
      <c r="K650" s="98">
        <v>0.85529371724445202</v>
      </c>
      <c r="L650" s="98">
        <v>7.4233750677851804E-2</v>
      </c>
      <c r="M650" s="98">
        <v>0.85014430192741197</v>
      </c>
      <c r="N650" s="98">
        <v>0.65625</v>
      </c>
      <c r="O650" s="99">
        <v>1.11328443357783</v>
      </c>
    </row>
    <row r="651" spans="1:15" s="86" customFormat="1" ht="29.25" customHeight="1" x14ac:dyDescent="0.2">
      <c r="A651" s="1289" t="s">
        <v>5321</v>
      </c>
      <c r="B651" s="1289"/>
      <c r="C651" s="1289"/>
      <c r="D651" s="1289"/>
      <c r="E651" s="1289"/>
      <c r="F651" s="1289"/>
      <c r="G651" s="1289"/>
      <c r="H651" s="1289"/>
      <c r="I651" s="1289"/>
      <c r="J651" s="1289"/>
      <c r="K651" s="1289"/>
      <c r="L651" s="1289"/>
      <c r="M651" s="1289"/>
      <c r="N651" s="1289"/>
      <c r="O651" s="1289"/>
    </row>
  </sheetData>
  <mergeCells count="103">
    <mergeCell ref="A651:O651"/>
    <mergeCell ref="A609:A615"/>
    <mergeCell ref="A616:A622"/>
    <mergeCell ref="A623:A629"/>
    <mergeCell ref="A630:A636"/>
    <mergeCell ref="A637:A643"/>
    <mergeCell ref="A644:A650"/>
    <mergeCell ref="A570:A576"/>
    <mergeCell ref="A577:A583"/>
    <mergeCell ref="A584:A590"/>
    <mergeCell ref="A591:A594"/>
    <mergeCell ref="A595:A601"/>
    <mergeCell ref="A602:A608"/>
    <mergeCell ref="A528:A534"/>
    <mergeCell ref="A535:A541"/>
    <mergeCell ref="A542:A548"/>
    <mergeCell ref="A549:A555"/>
    <mergeCell ref="A556:A562"/>
    <mergeCell ref="A563:A569"/>
    <mergeCell ref="A486:A492"/>
    <mergeCell ref="A493:A499"/>
    <mergeCell ref="A500:A506"/>
    <mergeCell ref="A507:A513"/>
    <mergeCell ref="A514:A520"/>
    <mergeCell ref="A521:A527"/>
    <mergeCell ref="A451:A455"/>
    <mergeCell ref="A456:A460"/>
    <mergeCell ref="A461:A467"/>
    <mergeCell ref="A468:A471"/>
    <mergeCell ref="A472:A478"/>
    <mergeCell ref="A479:A485"/>
    <mergeCell ref="A415:A417"/>
    <mergeCell ref="A418:A424"/>
    <mergeCell ref="A425:A431"/>
    <mergeCell ref="A432:A438"/>
    <mergeCell ref="A439:A443"/>
    <mergeCell ref="A444:A450"/>
    <mergeCell ref="A375:A381"/>
    <mergeCell ref="A382:A388"/>
    <mergeCell ref="A389:A395"/>
    <mergeCell ref="A396:A400"/>
    <mergeCell ref="A401:A407"/>
    <mergeCell ref="A408:A414"/>
    <mergeCell ref="A333:A339"/>
    <mergeCell ref="A340:A346"/>
    <mergeCell ref="A347:A353"/>
    <mergeCell ref="A354:A360"/>
    <mergeCell ref="A361:A367"/>
    <mergeCell ref="A368:A374"/>
    <mergeCell ref="A297:A303"/>
    <mergeCell ref="A304:A310"/>
    <mergeCell ref="A311:A314"/>
    <mergeCell ref="A315:A318"/>
    <mergeCell ref="A319:A325"/>
    <mergeCell ref="A326:A332"/>
    <mergeCell ref="A257:A263"/>
    <mergeCell ref="A264:A270"/>
    <mergeCell ref="A271:A277"/>
    <mergeCell ref="A278:A284"/>
    <mergeCell ref="A285:A291"/>
    <mergeCell ref="A292:A296"/>
    <mergeCell ref="A216:A222"/>
    <mergeCell ref="A223:A229"/>
    <mergeCell ref="A230:A236"/>
    <mergeCell ref="A237:A243"/>
    <mergeCell ref="A244:A249"/>
    <mergeCell ref="A250:A256"/>
    <mergeCell ref="A174:A180"/>
    <mergeCell ref="A181:A187"/>
    <mergeCell ref="A188:A194"/>
    <mergeCell ref="A195:A201"/>
    <mergeCell ref="A202:A208"/>
    <mergeCell ref="A209:A215"/>
    <mergeCell ref="A137:A143"/>
    <mergeCell ref="A144:A148"/>
    <mergeCell ref="A149:A155"/>
    <mergeCell ref="A156:A162"/>
    <mergeCell ref="A163:A166"/>
    <mergeCell ref="A167:A173"/>
    <mergeCell ref="A98:A104"/>
    <mergeCell ref="A105:A111"/>
    <mergeCell ref="A112:A118"/>
    <mergeCell ref="A119:A125"/>
    <mergeCell ref="A126:A132"/>
    <mergeCell ref="A133:A136"/>
    <mergeCell ref="A80:A86"/>
    <mergeCell ref="A87:A90"/>
    <mergeCell ref="A91:A97"/>
    <mergeCell ref="A31:A33"/>
    <mergeCell ref="A34:A40"/>
    <mergeCell ref="A41:A45"/>
    <mergeCell ref="A46:A50"/>
    <mergeCell ref="A51:A57"/>
    <mergeCell ref="A58:A61"/>
    <mergeCell ref="C3:H3"/>
    <mergeCell ref="J3:O3"/>
    <mergeCell ref="A5:A9"/>
    <mergeCell ref="A10:A16"/>
    <mergeCell ref="A17:A23"/>
    <mergeCell ref="A24:A30"/>
    <mergeCell ref="A62:A65"/>
    <mergeCell ref="A66:A72"/>
    <mergeCell ref="A73:A79"/>
  </mergeCells>
  <phoneticPr fontId="101" type="noConversion"/>
  <pageMargins left="0.5" right="0.5" top="0.5" bottom="0.5" header="0.05" footer="0.05"/>
  <pageSetup scale="67" fitToHeight="0"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Z83"/>
  <sheetViews>
    <sheetView topLeftCell="J1" workbookViewId="0">
      <selection activeCell="C10" sqref="C10"/>
    </sheetView>
  </sheetViews>
  <sheetFormatPr defaultColWidth="8.7109375" defaultRowHeight="15" x14ac:dyDescent="0.25"/>
  <cols>
    <col min="1" max="1" width="8.7109375" style="7"/>
    <col min="2" max="2" width="12" style="904" customWidth="1"/>
    <col min="3" max="3" width="14.28515625" style="2" customWidth="1"/>
    <col min="4" max="4" width="8.7109375" style="2"/>
    <col min="5" max="5" width="14.7109375" style="2" customWidth="1"/>
    <col min="6" max="6" width="10.7109375" style="60" customWidth="1"/>
    <col min="7" max="7" width="22.28515625" style="2" customWidth="1"/>
    <col min="8" max="8" width="21.7109375" style="2" customWidth="1"/>
    <col min="9" max="9" width="12.7109375" style="2" customWidth="1"/>
    <col min="10" max="10" width="10.7109375" style="2" customWidth="1"/>
    <col min="11" max="11" width="1.28515625" style="3" customWidth="1"/>
    <col min="12" max="12" width="10.7109375" style="2" customWidth="1"/>
    <col min="13" max="15" width="10.7109375" style="17" customWidth="1"/>
    <col min="16" max="17" width="10.7109375" style="2" customWidth="1"/>
    <col min="18" max="20" width="10.7109375" style="17" customWidth="1"/>
    <col min="21" max="21" width="10.7109375" style="2" customWidth="1"/>
    <col min="22" max="22" width="1.28515625" style="3" customWidth="1"/>
    <col min="23" max="23" width="8.7109375" style="3"/>
    <col min="24" max="25" width="10.28515625" style="17" customWidth="1"/>
    <col min="26" max="26" width="8.7109375" style="17"/>
    <col min="27" max="28" width="8.7109375" style="3"/>
    <col min="29" max="29" width="10.140625" style="17" customWidth="1"/>
    <col min="30" max="30" width="10.7109375" style="17" customWidth="1"/>
    <col min="31" max="31" width="8.7109375" style="17"/>
    <col min="32" max="32" width="8.7109375" style="3"/>
    <col min="33" max="33" width="1.7109375" style="3" customWidth="1"/>
    <col min="34" max="34" width="8.7109375" style="3"/>
    <col min="35" max="35" width="10.140625" style="17" customWidth="1"/>
    <col min="36" max="36" width="10.7109375" style="17" customWidth="1"/>
    <col min="37" max="37" width="8.7109375" style="17"/>
    <col min="38" max="38" width="8.7109375" style="3"/>
    <col min="39" max="40" width="8.7109375" style="2"/>
    <col min="41" max="41" width="1.7109375" style="3" customWidth="1"/>
    <col min="42" max="42" width="8.7109375" style="2"/>
    <col min="43" max="43" width="10.140625" style="17" customWidth="1"/>
    <col min="44" max="44" width="11.140625" style="17" customWidth="1"/>
    <col min="45" max="45" width="8.7109375" style="17"/>
    <col min="46" max="16384" width="8.7109375" style="2"/>
  </cols>
  <sheetData>
    <row r="1" spans="1:104" s="1" customFormat="1" x14ac:dyDescent="0.25">
      <c r="A1" s="918" t="s">
        <v>5909</v>
      </c>
      <c r="B1" s="371"/>
      <c r="F1" s="909"/>
      <c r="H1" s="2"/>
      <c r="K1" s="3"/>
      <c r="M1" s="4"/>
      <c r="N1" s="4"/>
      <c r="O1" s="4"/>
      <c r="R1" s="4"/>
      <c r="S1" s="4"/>
      <c r="T1" s="4"/>
      <c r="AG1" s="3"/>
      <c r="AI1" s="4"/>
      <c r="AJ1" s="4"/>
      <c r="AK1" s="4"/>
      <c r="AQ1" s="4"/>
      <c r="AR1" s="4"/>
      <c r="AS1" s="4"/>
      <c r="AV1" s="5"/>
      <c r="AZ1" s="5"/>
      <c r="BA1" s="3"/>
      <c r="BN1" s="3"/>
    </row>
    <row r="2" spans="1:104" s="42" customFormat="1" x14ac:dyDescent="0.25">
      <c r="A2" s="813"/>
      <c r="B2" s="880"/>
      <c r="C2" s="814"/>
      <c r="D2" s="723"/>
      <c r="E2" s="723" t="s">
        <v>1</v>
      </c>
      <c r="F2" s="910"/>
      <c r="G2" s="723"/>
      <c r="H2" s="814"/>
      <c r="I2" s="814"/>
      <c r="J2" s="814"/>
      <c r="K2" s="6"/>
      <c r="L2" s="1293" t="s">
        <v>885</v>
      </c>
      <c r="M2" s="1294"/>
      <c r="N2" s="1294"/>
      <c r="O2" s="1294"/>
      <c r="P2" s="1294"/>
      <c r="Q2" s="1294"/>
      <c r="R2" s="1294"/>
      <c r="S2" s="1294"/>
      <c r="T2" s="1294"/>
      <c r="U2" s="1294"/>
      <c r="V2" s="6"/>
      <c r="W2" s="1295" t="s">
        <v>886</v>
      </c>
      <c r="X2" s="1296"/>
      <c r="Y2" s="1296"/>
      <c r="Z2" s="1296"/>
      <c r="AA2" s="1296"/>
      <c r="AB2" s="1296"/>
      <c r="AC2" s="1296"/>
      <c r="AD2" s="1296"/>
      <c r="AE2" s="1296"/>
      <c r="AF2" s="1296"/>
      <c r="AG2" s="6"/>
      <c r="AH2" s="1296" t="s">
        <v>887</v>
      </c>
      <c r="AI2" s="1296"/>
      <c r="AJ2" s="1296"/>
      <c r="AK2" s="1296"/>
      <c r="AL2" s="1296"/>
      <c r="AM2" s="1296"/>
      <c r="AN2" s="1297"/>
      <c r="AO2" s="6"/>
      <c r="AP2" s="1295" t="s">
        <v>888</v>
      </c>
      <c r="AQ2" s="1296"/>
      <c r="AR2" s="1296"/>
      <c r="AS2" s="1296"/>
      <c r="AT2" s="1296"/>
      <c r="AU2" s="1297"/>
      <c r="AV2" s="814"/>
      <c r="AW2" s="814"/>
      <c r="AX2" s="814"/>
      <c r="AY2" s="814"/>
      <c r="AZ2" s="814"/>
      <c r="BA2" s="814"/>
      <c r="BB2" s="814"/>
      <c r="BC2" s="814"/>
      <c r="BD2" s="814"/>
      <c r="BE2" s="814"/>
      <c r="BF2" s="814"/>
      <c r="BG2" s="814"/>
      <c r="BH2" s="814"/>
      <c r="BI2" s="814"/>
      <c r="BJ2" s="814"/>
      <c r="BK2" s="814"/>
      <c r="BL2" s="814"/>
      <c r="BM2" s="814"/>
      <c r="BN2" s="814"/>
      <c r="BO2" s="814"/>
      <c r="BP2" s="814"/>
      <c r="BQ2" s="814"/>
      <c r="BR2" s="814"/>
      <c r="BS2" s="814"/>
      <c r="BT2" s="814"/>
      <c r="BU2" s="814"/>
      <c r="BV2" s="814"/>
      <c r="BW2" s="814"/>
      <c r="BX2" s="814"/>
      <c r="BY2" s="814"/>
      <c r="BZ2" s="814"/>
      <c r="CA2" s="814"/>
      <c r="CB2" s="814"/>
      <c r="CC2" s="814"/>
      <c r="CD2" s="814"/>
      <c r="CE2" s="814"/>
      <c r="CF2" s="814"/>
      <c r="CG2" s="814"/>
      <c r="CH2" s="814"/>
      <c r="CI2" s="814"/>
      <c r="CJ2" s="814"/>
      <c r="CK2" s="814"/>
      <c r="CL2" s="814"/>
      <c r="CM2" s="814"/>
      <c r="CN2" s="814"/>
      <c r="CO2" s="814"/>
      <c r="CP2" s="814"/>
      <c r="CQ2" s="814"/>
      <c r="CR2" s="814"/>
      <c r="CS2" s="814"/>
      <c r="CT2" s="814"/>
      <c r="CU2" s="814"/>
      <c r="CV2" s="814"/>
      <c r="CW2" s="814"/>
      <c r="CX2" s="814"/>
      <c r="CY2" s="814"/>
      <c r="CZ2" s="814"/>
    </row>
    <row r="3" spans="1:104" s="42" customFormat="1" ht="29.1" customHeight="1" x14ac:dyDescent="0.25">
      <c r="A3" s="813"/>
      <c r="B3" s="880"/>
      <c r="C3" s="814"/>
      <c r="D3" s="814"/>
      <c r="E3" s="814"/>
      <c r="F3" s="911"/>
      <c r="G3" s="814"/>
      <c r="H3" s="814"/>
      <c r="I3" s="814"/>
      <c r="J3" s="814"/>
      <c r="K3" s="6"/>
      <c r="L3" s="1298" t="s">
        <v>889</v>
      </c>
      <c r="M3" s="1299"/>
      <c r="N3" s="1299"/>
      <c r="O3" s="1299"/>
      <c r="P3" s="1299"/>
      <c r="Q3" s="1298" t="s">
        <v>289</v>
      </c>
      <c r="R3" s="1299"/>
      <c r="S3" s="1299"/>
      <c r="T3" s="1299"/>
      <c r="U3" s="1299"/>
      <c r="V3" s="6"/>
      <c r="W3" s="1298" t="s">
        <v>889</v>
      </c>
      <c r="X3" s="1299"/>
      <c r="Y3" s="1299"/>
      <c r="Z3" s="1299"/>
      <c r="AA3" s="1299"/>
      <c r="AB3" s="1298" t="s">
        <v>289</v>
      </c>
      <c r="AC3" s="1299"/>
      <c r="AD3" s="1299"/>
      <c r="AE3" s="1299"/>
      <c r="AF3" s="1299"/>
      <c r="AG3" s="6"/>
      <c r="AH3" s="1298" t="s">
        <v>289</v>
      </c>
      <c r="AI3" s="1299"/>
      <c r="AJ3" s="1299"/>
      <c r="AK3" s="1299"/>
      <c r="AL3" s="1299"/>
      <c r="AM3" s="1299"/>
      <c r="AN3" s="1300"/>
      <c r="AO3" s="6"/>
      <c r="AP3" s="1298" t="s">
        <v>289</v>
      </c>
      <c r="AQ3" s="1299"/>
      <c r="AR3" s="1299"/>
      <c r="AS3" s="1299"/>
      <c r="AT3" s="1299"/>
      <c r="AU3" s="1300"/>
      <c r="AV3" s="814"/>
      <c r="AW3" s="814"/>
      <c r="AX3" s="814"/>
      <c r="AY3" s="814"/>
      <c r="AZ3" s="814"/>
      <c r="BA3" s="814"/>
      <c r="BB3" s="814"/>
      <c r="BC3" s="814"/>
      <c r="BD3" s="814"/>
      <c r="BE3" s="814"/>
      <c r="BF3" s="814"/>
      <c r="BG3" s="814"/>
      <c r="BH3" s="814"/>
      <c r="BI3" s="814"/>
      <c r="BJ3" s="814"/>
      <c r="BK3" s="814"/>
      <c r="BL3" s="814"/>
      <c r="BM3" s="814"/>
      <c r="BN3" s="814"/>
      <c r="BO3" s="814"/>
      <c r="BP3" s="814"/>
      <c r="BQ3" s="814"/>
      <c r="BR3" s="814"/>
      <c r="BS3" s="814"/>
      <c r="BT3" s="814"/>
      <c r="BU3" s="814"/>
      <c r="BV3" s="814"/>
      <c r="BW3" s="814"/>
      <c r="BX3" s="814"/>
      <c r="BY3" s="814"/>
      <c r="BZ3" s="814"/>
      <c r="CA3" s="814"/>
      <c r="CB3" s="814"/>
      <c r="CC3" s="814"/>
      <c r="CD3" s="814"/>
      <c r="CE3" s="814"/>
      <c r="CF3" s="814"/>
      <c r="CG3" s="814"/>
      <c r="CH3" s="814"/>
      <c r="CI3" s="814"/>
      <c r="CJ3" s="814"/>
      <c r="CK3" s="814"/>
      <c r="CL3" s="814"/>
      <c r="CM3" s="814"/>
      <c r="CN3" s="814"/>
      <c r="CO3" s="814"/>
      <c r="CP3" s="814"/>
      <c r="CQ3" s="814"/>
      <c r="CR3" s="814"/>
      <c r="CS3" s="814"/>
      <c r="CT3" s="814"/>
      <c r="CU3" s="814"/>
      <c r="CV3" s="814"/>
      <c r="CW3" s="814"/>
      <c r="CX3" s="814"/>
      <c r="CY3" s="814"/>
      <c r="CZ3" s="814"/>
    </row>
    <row r="4" spans="1:104" s="883" customFormat="1" ht="63" thickBot="1" x14ac:dyDescent="0.3">
      <c r="A4" s="795" t="s">
        <v>890</v>
      </c>
      <c r="B4" s="876" t="s">
        <v>5269</v>
      </c>
      <c r="C4" s="886" t="s">
        <v>3</v>
      </c>
      <c r="D4" s="886" t="s">
        <v>891</v>
      </c>
      <c r="E4" s="885" t="s">
        <v>892</v>
      </c>
      <c r="F4" s="885" t="s">
        <v>893</v>
      </c>
      <c r="G4" s="885" t="s">
        <v>894</v>
      </c>
      <c r="H4" s="886" t="s">
        <v>895</v>
      </c>
      <c r="I4" s="876" t="s">
        <v>896</v>
      </c>
      <c r="J4" s="912" t="s">
        <v>5</v>
      </c>
      <c r="K4" s="913"/>
      <c r="L4" s="795" t="s">
        <v>7</v>
      </c>
      <c r="M4" s="796" t="s">
        <v>8</v>
      </c>
      <c r="N4" s="796" t="s">
        <v>9</v>
      </c>
      <c r="O4" s="797" t="s">
        <v>10</v>
      </c>
      <c r="P4" s="798" t="s">
        <v>11</v>
      </c>
      <c r="Q4" s="914" t="s">
        <v>7</v>
      </c>
      <c r="R4" s="796" t="s">
        <v>8</v>
      </c>
      <c r="S4" s="796" t="s">
        <v>9</v>
      </c>
      <c r="T4" s="915" t="s">
        <v>10</v>
      </c>
      <c r="U4" s="798" t="s">
        <v>11</v>
      </c>
      <c r="V4" s="913"/>
      <c r="W4" s="795" t="s">
        <v>7</v>
      </c>
      <c r="X4" s="796" t="s">
        <v>8</v>
      </c>
      <c r="Y4" s="796" t="s">
        <v>9</v>
      </c>
      <c r="Z4" s="877" t="s">
        <v>10</v>
      </c>
      <c r="AA4" s="877" t="s">
        <v>897</v>
      </c>
      <c r="AB4" s="914" t="s">
        <v>7</v>
      </c>
      <c r="AC4" s="796" t="s">
        <v>8</v>
      </c>
      <c r="AD4" s="796" t="s">
        <v>9</v>
      </c>
      <c r="AE4" s="915" t="s">
        <v>10</v>
      </c>
      <c r="AF4" s="798" t="s">
        <v>11</v>
      </c>
      <c r="AG4" s="913"/>
      <c r="AH4" s="795" t="s">
        <v>7</v>
      </c>
      <c r="AI4" s="796" t="s">
        <v>8</v>
      </c>
      <c r="AJ4" s="796" t="s">
        <v>9</v>
      </c>
      <c r="AK4" s="797" t="s">
        <v>10</v>
      </c>
      <c r="AL4" s="798" t="s">
        <v>11</v>
      </c>
      <c r="AM4" s="876" t="s">
        <v>898</v>
      </c>
      <c r="AN4" s="916" t="s">
        <v>899</v>
      </c>
      <c r="AO4" s="913"/>
      <c r="AP4" s="795" t="s">
        <v>7</v>
      </c>
      <c r="AQ4" s="796" t="s">
        <v>8</v>
      </c>
      <c r="AR4" s="796" t="s">
        <v>9</v>
      </c>
      <c r="AS4" s="797" t="s">
        <v>10</v>
      </c>
      <c r="AT4" s="798" t="s">
        <v>11</v>
      </c>
      <c r="AU4" s="916" t="s">
        <v>899</v>
      </c>
    </row>
    <row r="5" spans="1:104" ht="15.75" thickTop="1" x14ac:dyDescent="0.25">
      <c r="A5" s="7" t="s">
        <v>900</v>
      </c>
      <c r="B5" s="904">
        <v>1</v>
      </c>
      <c r="C5" s="2" t="s">
        <v>901</v>
      </c>
      <c r="D5" s="2">
        <v>1</v>
      </c>
      <c r="E5" s="2">
        <v>36225948</v>
      </c>
      <c r="F5" s="60" t="s">
        <v>902</v>
      </c>
      <c r="G5" s="2" t="s">
        <v>903</v>
      </c>
      <c r="I5" s="2" t="s">
        <v>17</v>
      </c>
      <c r="J5" s="2" t="s">
        <v>23</v>
      </c>
      <c r="K5" s="8"/>
      <c r="L5" s="1">
        <v>356635</v>
      </c>
      <c r="M5" s="4">
        <v>0.1522</v>
      </c>
      <c r="N5" s="4">
        <v>1.7600000000000001E-2</v>
      </c>
      <c r="O5" s="4">
        <v>3.5000000000000001E-3</v>
      </c>
      <c r="P5" s="3">
        <v>3.8799999999999998E-7</v>
      </c>
      <c r="Q5" s="7">
        <v>314849</v>
      </c>
      <c r="R5" s="45">
        <v>0.12620000000000001</v>
      </c>
      <c r="S5" s="45">
        <v>1.7399999999999999E-2</v>
      </c>
      <c r="T5" s="45">
        <v>3.8999999999999998E-3</v>
      </c>
      <c r="U5" s="18">
        <v>7.1600000000000001E-6</v>
      </c>
      <c r="V5" s="8"/>
      <c r="W5" s="1">
        <v>224594</v>
      </c>
      <c r="X5" s="4">
        <v>0.16719999999999999</v>
      </c>
      <c r="Y5" s="4">
        <v>2.1700000000000001E-2</v>
      </c>
      <c r="Z5" s="4">
        <v>4.1999999999999997E-3</v>
      </c>
      <c r="AA5" s="5">
        <v>3.2099999999999998E-7</v>
      </c>
      <c r="AB5" s="19">
        <v>182808</v>
      </c>
      <c r="AC5" s="29">
        <v>0.1303</v>
      </c>
      <c r="AD5" s="29">
        <v>2.3099999999999999E-2</v>
      </c>
      <c r="AE5" s="29">
        <v>5.0000000000000001E-3</v>
      </c>
      <c r="AF5" s="16">
        <v>4.2599999999999999E-6</v>
      </c>
      <c r="AG5" s="9"/>
      <c r="AH5" s="1">
        <v>119436</v>
      </c>
      <c r="AI5" s="4">
        <v>0.1207</v>
      </c>
      <c r="AJ5" s="4">
        <v>9.2540000000000001E-3</v>
      </c>
      <c r="AK5" s="4">
        <v>6.2709999999999997E-3</v>
      </c>
      <c r="AL5" s="5">
        <v>0.14000000000000001</v>
      </c>
      <c r="AM5" s="14">
        <v>0.93500000000000005</v>
      </c>
      <c r="AN5" s="10" t="s">
        <v>1</v>
      </c>
      <c r="AO5" s="9"/>
      <c r="AP5" s="1">
        <v>12605</v>
      </c>
      <c r="AQ5" s="4">
        <v>0.10731</v>
      </c>
      <c r="AR5" s="4">
        <v>-1E-3</v>
      </c>
      <c r="AS5" s="4">
        <v>2.9572999999999999E-2</v>
      </c>
      <c r="AT5" s="1">
        <v>0.97302500000000003</v>
      </c>
      <c r="AU5" s="10">
        <v>1</v>
      </c>
    </row>
    <row r="6" spans="1:104" x14ac:dyDescent="0.25">
      <c r="A6" s="7" t="s">
        <v>900</v>
      </c>
      <c r="B6" s="1301">
        <v>2</v>
      </c>
      <c r="C6" s="2" t="s">
        <v>15</v>
      </c>
      <c r="D6" s="2">
        <v>1</v>
      </c>
      <c r="E6" s="2">
        <v>119427467</v>
      </c>
      <c r="F6" s="1303" t="s">
        <v>18</v>
      </c>
      <c r="G6" s="2" t="s">
        <v>19</v>
      </c>
      <c r="H6" s="1233" t="s">
        <v>20</v>
      </c>
      <c r="I6" s="2" t="s">
        <v>16</v>
      </c>
      <c r="J6" s="2" t="s">
        <v>17</v>
      </c>
      <c r="K6" s="8"/>
      <c r="L6" s="1">
        <v>441461</v>
      </c>
      <c r="M6" s="4">
        <v>0.95699999999999996</v>
      </c>
      <c r="N6" s="4">
        <v>4.0599999999999997E-2</v>
      </c>
      <c r="O6" s="4">
        <v>5.3E-3</v>
      </c>
      <c r="P6" s="3">
        <v>2.2099999999999999E-14</v>
      </c>
      <c r="Q6" s="7">
        <v>407948</v>
      </c>
      <c r="R6" s="45">
        <v>0.95589999999999997</v>
      </c>
      <c r="S6" s="45">
        <v>3.9E-2</v>
      </c>
      <c r="T6" s="45">
        <v>5.4000000000000003E-3</v>
      </c>
      <c r="U6" s="18">
        <v>6.6599999999999999E-13</v>
      </c>
      <c r="V6" s="8"/>
      <c r="W6" s="1">
        <v>314046</v>
      </c>
      <c r="X6" s="4">
        <v>0.95809999999999995</v>
      </c>
      <c r="Y6" s="4">
        <v>3.5099999999999999E-2</v>
      </c>
      <c r="Z6" s="4">
        <v>6.4000000000000003E-3</v>
      </c>
      <c r="AA6" s="5">
        <v>3.5700000000000002E-8</v>
      </c>
      <c r="AB6" s="19">
        <v>280533</v>
      </c>
      <c r="AC6" s="29">
        <v>0.95650000000000002</v>
      </c>
      <c r="AD6" s="29">
        <v>3.2399999999999998E-2</v>
      </c>
      <c r="AE6" s="29">
        <v>6.6E-3</v>
      </c>
      <c r="AF6" s="16">
        <v>9.6800000000000009E-7</v>
      </c>
      <c r="AG6" s="9"/>
      <c r="AH6" s="1">
        <v>114810</v>
      </c>
      <c r="AI6" s="4">
        <v>0.95450999999999997</v>
      </c>
      <c r="AJ6" s="4">
        <v>5.3539999999999997E-2</v>
      </c>
      <c r="AK6" s="4">
        <v>9.9950000000000004E-3</v>
      </c>
      <c r="AL6" s="5">
        <v>8.4800000000000005E-8</v>
      </c>
      <c r="AM6" s="14">
        <v>0.58760000000000001</v>
      </c>
      <c r="AN6" s="10" t="s">
        <v>1</v>
      </c>
      <c r="AO6" s="9"/>
      <c r="AP6" s="1">
        <v>12605</v>
      </c>
      <c r="AQ6" s="4">
        <v>0.95464000000000004</v>
      </c>
      <c r="AR6" s="4">
        <v>4.4999999999999998E-2</v>
      </c>
      <c r="AS6" s="4">
        <v>3.1819600000000003E-2</v>
      </c>
      <c r="AT6" s="1">
        <v>0.15729699999999999</v>
      </c>
      <c r="AU6" s="10">
        <v>0.99781799999999998</v>
      </c>
    </row>
    <row r="7" spans="1:104" x14ac:dyDescent="0.25">
      <c r="A7" s="7" t="s">
        <v>900</v>
      </c>
      <c r="B7" s="1301"/>
      <c r="C7" s="2" t="s">
        <v>22</v>
      </c>
      <c r="D7" s="2">
        <v>1</v>
      </c>
      <c r="E7" s="2">
        <v>119469188</v>
      </c>
      <c r="F7" s="1303"/>
      <c r="G7" s="2" t="s">
        <v>25</v>
      </c>
      <c r="H7" s="1233"/>
      <c r="I7" s="2" t="s">
        <v>23</v>
      </c>
      <c r="J7" s="2" t="s">
        <v>24</v>
      </c>
      <c r="K7" s="8"/>
      <c r="L7" s="1">
        <v>472259</v>
      </c>
      <c r="M7" s="4">
        <v>0.17399999999999999</v>
      </c>
      <c r="N7" s="4">
        <v>1.77E-2</v>
      </c>
      <c r="O7" s="4">
        <v>2.8E-3</v>
      </c>
      <c r="P7" s="3">
        <v>1.3799999999999999E-10</v>
      </c>
      <c r="Q7" s="7">
        <v>418159</v>
      </c>
      <c r="R7" s="45">
        <v>0.18640000000000001</v>
      </c>
      <c r="S7" s="45">
        <v>1.7999999999999999E-2</v>
      </c>
      <c r="T7" s="45">
        <v>2.8999999999999998E-3</v>
      </c>
      <c r="U7" s="18">
        <v>4.03E-10</v>
      </c>
      <c r="V7" s="8"/>
      <c r="W7" s="1">
        <v>340220</v>
      </c>
      <c r="X7" s="4">
        <v>0.17019999999999999</v>
      </c>
      <c r="Y7" s="4">
        <v>1.6299999999999999E-2</v>
      </c>
      <c r="Z7" s="4">
        <v>3.3E-3</v>
      </c>
      <c r="AA7" s="5">
        <v>8.9500000000000001E-7</v>
      </c>
      <c r="AB7" s="19">
        <v>286120</v>
      </c>
      <c r="AC7" s="29">
        <v>0.188</v>
      </c>
      <c r="AD7" s="29">
        <v>1.6500000000000001E-2</v>
      </c>
      <c r="AE7" s="29">
        <v>3.5000000000000001E-3</v>
      </c>
      <c r="AF7" s="16">
        <v>1.73E-6</v>
      </c>
      <c r="AG7" s="9"/>
      <c r="AH7" s="1">
        <v>119434</v>
      </c>
      <c r="AI7" s="4">
        <v>0.1802</v>
      </c>
      <c r="AJ7" s="4">
        <v>2.0320000000000001E-2</v>
      </c>
      <c r="AK7" s="4">
        <v>5.3189999999999999E-3</v>
      </c>
      <c r="AL7" s="5">
        <v>1.3300000000000001E-4</v>
      </c>
      <c r="AM7" s="14">
        <v>0.50049999999999994</v>
      </c>
      <c r="AN7" s="10" t="s">
        <v>1</v>
      </c>
      <c r="AO7" s="9"/>
      <c r="AP7" s="1">
        <v>12605</v>
      </c>
      <c r="AQ7" s="4">
        <v>0.21046000000000001</v>
      </c>
      <c r="AR7" s="4">
        <v>2.9000000000000001E-2</v>
      </c>
      <c r="AS7" s="4">
        <v>1.6476299999999999E-2</v>
      </c>
      <c r="AT7" s="1">
        <v>7.8390000000000001E-2</v>
      </c>
      <c r="AU7" s="10">
        <v>0.99998900000000002</v>
      </c>
    </row>
    <row r="8" spans="1:104" x14ac:dyDescent="0.25">
      <c r="A8" s="7" t="s">
        <v>900</v>
      </c>
      <c r="B8" s="904">
        <v>3</v>
      </c>
      <c r="C8" s="2" t="s">
        <v>27</v>
      </c>
      <c r="D8" s="2">
        <v>1</v>
      </c>
      <c r="E8" s="2">
        <v>154987704</v>
      </c>
      <c r="F8" s="60" t="s">
        <v>28</v>
      </c>
      <c r="G8" s="2" t="s">
        <v>29</v>
      </c>
      <c r="H8" s="889" t="s">
        <v>30</v>
      </c>
      <c r="I8" s="2" t="s">
        <v>17</v>
      </c>
      <c r="J8" s="2" t="s">
        <v>23</v>
      </c>
      <c r="K8" s="8"/>
      <c r="L8" s="1">
        <v>476440</v>
      </c>
      <c r="M8" s="4">
        <v>0.97619999999999996</v>
      </c>
      <c r="N8" s="4">
        <v>3.73E-2</v>
      </c>
      <c r="O8" s="4">
        <v>6.7999999999999996E-3</v>
      </c>
      <c r="P8" s="3">
        <v>3.7499999999999998E-8</v>
      </c>
      <c r="Q8" s="7">
        <v>420563</v>
      </c>
      <c r="R8" s="45">
        <v>0.97330000000000005</v>
      </c>
      <c r="S8" s="45">
        <v>3.7699999999999997E-2</v>
      </c>
      <c r="T8" s="45">
        <v>6.7999999999999996E-3</v>
      </c>
      <c r="U8" s="18">
        <v>3.69E-8</v>
      </c>
      <c r="V8" s="8"/>
      <c r="W8" s="1">
        <v>344369</v>
      </c>
      <c r="X8" s="4">
        <v>0.97589999999999999</v>
      </c>
      <c r="Y8" s="4">
        <v>2.9499999999999998E-2</v>
      </c>
      <c r="Z8" s="4">
        <v>7.9000000000000008E-3</v>
      </c>
      <c r="AA8" s="5">
        <v>2.05E-4</v>
      </c>
      <c r="AB8" s="19">
        <v>288492</v>
      </c>
      <c r="AC8" s="29">
        <v>0.97189999999999999</v>
      </c>
      <c r="AD8" s="29">
        <v>2.98E-2</v>
      </c>
      <c r="AE8" s="29">
        <v>8.0000000000000002E-3</v>
      </c>
      <c r="AF8" s="16">
        <v>2.0100000000000001E-4</v>
      </c>
      <c r="AG8" s="9"/>
      <c r="AH8" s="1">
        <v>119466</v>
      </c>
      <c r="AI8" s="4">
        <v>0.97824999999999995</v>
      </c>
      <c r="AJ8" s="4">
        <v>6.3270000000000007E-2</v>
      </c>
      <c r="AK8" s="4">
        <v>1.4149999999999999E-2</v>
      </c>
      <c r="AL8" s="5">
        <v>7.8199999999999997E-6</v>
      </c>
      <c r="AM8" s="18">
        <v>1.39E-25</v>
      </c>
      <c r="AN8" s="10" t="s">
        <v>1</v>
      </c>
      <c r="AO8" s="9"/>
      <c r="AP8" s="1">
        <v>12605</v>
      </c>
      <c r="AQ8" s="4">
        <v>0.96821999999999997</v>
      </c>
      <c r="AR8" s="4">
        <v>3.1E-2</v>
      </c>
      <c r="AS8" s="4">
        <v>3.6785199999999997E-2</v>
      </c>
      <c r="AT8" s="1">
        <v>0.39937899999999998</v>
      </c>
      <c r="AU8" s="10">
        <v>0.99672000000000005</v>
      </c>
    </row>
    <row r="9" spans="1:104" x14ac:dyDescent="0.25">
      <c r="A9" s="7" t="s">
        <v>900</v>
      </c>
      <c r="B9" s="904">
        <v>4</v>
      </c>
      <c r="C9" s="2" t="s">
        <v>211</v>
      </c>
      <c r="D9" s="2">
        <v>1</v>
      </c>
      <c r="E9" s="2">
        <v>173802608</v>
      </c>
      <c r="F9" s="60" t="s">
        <v>212</v>
      </c>
      <c r="G9" s="2" t="s">
        <v>213</v>
      </c>
      <c r="I9" s="2" t="s">
        <v>24</v>
      </c>
      <c r="J9" s="2" t="s">
        <v>16</v>
      </c>
      <c r="K9" s="8"/>
      <c r="L9" s="1">
        <v>404220</v>
      </c>
      <c r="M9" s="4">
        <v>4.5999999999999999E-3</v>
      </c>
      <c r="N9" s="4">
        <v>7.2300000000000003E-2</v>
      </c>
      <c r="O9" s="4">
        <v>0.02</v>
      </c>
      <c r="P9" s="3">
        <v>3.0600000000000001E-4</v>
      </c>
      <c r="Q9" s="7">
        <v>352646</v>
      </c>
      <c r="R9" s="45">
        <v>1.2999999999999999E-3</v>
      </c>
      <c r="S9" s="45">
        <v>0.2011</v>
      </c>
      <c r="T9" s="45">
        <v>3.8199999999999998E-2</v>
      </c>
      <c r="U9" s="18">
        <v>1.4100000000000001E-7</v>
      </c>
      <c r="V9" s="8"/>
      <c r="W9" s="1">
        <v>272043</v>
      </c>
      <c r="X9" s="4">
        <v>4.7999999999999996E-3</v>
      </c>
      <c r="Y9" s="4">
        <v>7.1599999999999997E-2</v>
      </c>
      <c r="Z9" s="4">
        <v>2.0400000000000001E-2</v>
      </c>
      <c r="AA9" s="5">
        <v>4.4999999999999999E-4</v>
      </c>
      <c r="AB9" s="19">
        <v>220469</v>
      </c>
      <c r="AC9" s="29">
        <v>1.4E-3</v>
      </c>
      <c r="AD9" s="29">
        <v>0.217</v>
      </c>
      <c r="AE9" s="29">
        <v>4.0899999999999999E-2</v>
      </c>
      <c r="AF9" s="16">
        <v>1.09E-7</v>
      </c>
      <c r="AG9" s="9"/>
      <c r="AH9" s="1">
        <v>119572</v>
      </c>
      <c r="AI9" s="4">
        <v>4.0999999999999999E-4</v>
      </c>
      <c r="AJ9" s="4">
        <v>8.6756899999999998E-2</v>
      </c>
      <c r="AK9" s="4">
        <v>0.107948</v>
      </c>
      <c r="AL9" s="5">
        <v>0.42199999999999999</v>
      </c>
      <c r="AM9" s="14"/>
      <c r="AN9" s="10">
        <v>0.84903200000000001</v>
      </c>
      <c r="AO9" s="9"/>
      <c r="AP9" s="1">
        <v>12605</v>
      </c>
      <c r="AQ9" s="4">
        <v>3.0000000000000001E-5</v>
      </c>
      <c r="AR9" s="4">
        <v>0.34399999999999997</v>
      </c>
      <c r="AS9" s="4">
        <v>0.71292880000000003</v>
      </c>
      <c r="AT9" s="1">
        <v>0.62943899999999997</v>
      </c>
      <c r="AU9" s="10"/>
    </row>
    <row r="10" spans="1:104" x14ac:dyDescent="0.25">
      <c r="A10" s="7" t="s">
        <v>900</v>
      </c>
      <c r="B10" s="904">
        <v>5</v>
      </c>
      <c r="C10" s="2" t="s">
        <v>257</v>
      </c>
      <c r="D10" s="2">
        <v>1</v>
      </c>
      <c r="E10" s="2">
        <v>205130413</v>
      </c>
      <c r="F10" s="60" t="s">
        <v>258</v>
      </c>
      <c r="G10" s="2" t="s">
        <v>259</v>
      </c>
      <c r="I10" s="2" t="s">
        <v>24</v>
      </c>
      <c r="J10" s="2" t="s">
        <v>16</v>
      </c>
      <c r="K10" s="8"/>
      <c r="L10" s="1">
        <v>474921</v>
      </c>
      <c r="M10" s="4">
        <v>0.91320000000000001</v>
      </c>
      <c r="N10" s="4">
        <v>1.5599999999999999E-2</v>
      </c>
      <c r="O10" s="4">
        <v>3.7000000000000002E-3</v>
      </c>
      <c r="P10" s="3">
        <v>2.51E-5</v>
      </c>
      <c r="Q10" s="7">
        <v>419044</v>
      </c>
      <c r="R10" s="45">
        <v>0.90680000000000005</v>
      </c>
      <c r="S10" s="45">
        <v>1.6899999999999998E-2</v>
      </c>
      <c r="T10" s="45">
        <v>3.8E-3</v>
      </c>
      <c r="U10" s="18">
        <v>9.9199999999999999E-6</v>
      </c>
      <c r="V10" s="8"/>
      <c r="W10" s="1">
        <v>342864</v>
      </c>
      <c r="X10" s="4">
        <v>0.91449999999999998</v>
      </c>
      <c r="Y10" s="4">
        <v>1.18E-2</v>
      </c>
      <c r="Z10" s="4">
        <v>4.4000000000000003E-3</v>
      </c>
      <c r="AA10" s="5">
        <v>7.9699999999999997E-3</v>
      </c>
      <c r="AB10" s="19">
        <v>286987</v>
      </c>
      <c r="AC10" s="29">
        <v>0.90539999999999998</v>
      </c>
      <c r="AD10" s="29">
        <v>1.3299999999999999E-2</v>
      </c>
      <c r="AE10" s="29">
        <v>4.5999999999999999E-3</v>
      </c>
      <c r="AF10" s="16">
        <v>4.0099999999999997E-3</v>
      </c>
      <c r="AG10" s="9"/>
      <c r="AH10" s="1">
        <v>119452</v>
      </c>
      <c r="AI10" s="4">
        <v>0.90830999999999995</v>
      </c>
      <c r="AJ10" s="4">
        <v>2.8039999999999999E-2</v>
      </c>
      <c r="AK10" s="4">
        <v>7.077E-3</v>
      </c>
      <c r="AL10" s="5">
        <v>7.4099999999999999E-5</v>
      </c>
      <c r="AM10" s="14">
        <v>0.93100000000000005</v>
      </c>
      <c r="AN10" s="10" t="s">
        <v>1</v>
      </c>
      <c r="AO10" s="9"/>
      <c r="AP10" s="1">
        <v>12605</v>
      </c>
      <c r="AQ10" s="4">
        <v>0.93208999999999997</v>
      </c>
      <c r="AR10" s="4">
        <v>-0.02</v>
      </c>
      <c r="AS10" s="4">
        <v>2.58287E-2</v>
      </c>
      <c r="AT10" s="1">
        <v>0.43873400000000001</v>
      </c>
      <c r="AU10" s="10">
        <v>0.999421</v>
      </c>
    </row>
    <row r="11" spans="1:104" x14ac:dyDescent="0.25">
      <c r="A11" s="7" t="s">
        <v>905</v>
      </c>
      <c r="B11" s="904">
        <v>6</v>
      </c>
      <c r="C11" s="14" t="s">
        <v>906</v>
      </c>
      <c r="D11" s="14">
        <v>2</v>
      </c>
      <c r="E11" s="14">
        <v>15607842</v>
      </c>
      <c r="F11" s="199" t="s">
        <v>907</v>
      </c>
      <c r="G11" s="2" t="s">
        <v>908</v>
      </c>
      <c r="H11" s="14"/>
      <c r="I11" s="14" t="s">
        <v>17</v>
      </c>
      <c r="J11" s="14" t="s">
        <v>23</v>
      </c>
      <c r="K11" s="8"/>
      <c r="L11" s="177">
        <v>463636</v>
      </c>
      <c r="M11" s="29">
        <v>0.64</v>
      </c>
      <c r="N11" s="29">
        <v>0.01</v>
      </c>
      <c r="O11" s="29">
        <v>3.0999999999999999E-3</v>
      </c>
      <c r="P11" s="18">
        <v>1.1670000000000001E-3</v>
      </c>
      <c r="Q11" s="7">
        <v>412710</v>
      </c>
      <c r="R11" s="45">
        <v>0.67059999999999997</v>
      </c>
      <c r="S11" s="45">
        <v>1.09E-2</v>
      </c>
      <c r="T11" s="45">
        <v>3.3E-3</v>
      </c>
      <c r="U11" s="18">
        <v>8.5999999999999998E-4</v>
      </c>
      <c r="V11" s="8"/>
      <c r="W11" s="177">
        <v>331459</v>
      </c>
      <c r="X11" s="29">
        <v>0.62570000000000003</v>
      </c>
      <c r="Y11" s="29">
        <v>1.5699999999999999E-2</v>
      </c>
      <c r="Z11" s="29">
        <v>3.7000000000000002E-3</v>
      </c>
      <c r="AA11" s="16">
        <v>2.2799999999999999E-5</v>
      </c>
      <c r="AB11" s="19">
        <v>280533</v>
      </c>
      <c r="AC11" s="29">
        <v>0.66930000000000001</v>
      </c>
      <c r="AD11" s="29">
        <v>1.7899999999999999E-2</v>
      </c>
      <c r="AE11" s="29">
        <v>4.0000000000000001E-3</v>
      </c>
      <c r="AF11" s="16">
        <v>4.5900000000000001E-6</v>
      </c>
      <c r="AG11" s="8"/>
      <c r="AH11" s="177">
        <v>119572</v>
      </c>
      <c r="AI11" s="29">
        <v>0.67662</v>
      </c>
      <c r="AJ11" s="29">
        <v>-5.1152000000000003E-3</v>
      </c>
      <c r="AK11" s="29">
        <v>5.7990000000000003E-3</v>
      </c>
      <c r="AL11" s="16">
        <v>0.378</v>
      </c>
      <c r="AM11" s="14"/>
      <c r="AN11" s="10">
        <v>0.99872399999999995</v>
      </c>
      <c r="AO11" s="8"/>
      <c r="AP11" s="177">
        <v>12605</v>
      </c>
      <c r="AQ11" s="29">
        <v>0.61165000000000003</v>
      </c>
      <c r="AR11" s="29">
        <v>3.4000000000000002E-2</v>
      </c>
      <c r="AS11" s="29">
        <v>2.5035700000000001E-2</v>
      </c>
      <c r="AT11" s="177">
        <v>0.17444399999999999</v>
      </c>
      <c r="AU11" s="10">
        <v>1</v>
      </c>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row>
    <row r="12" spans="1:104" x14ac:dyDescent="0.25">
      <c r="A12" s="7" t="s">
        <v>900</v>
      </c>
      <c r="B12" s="904">
        <v>7</v>
      </c>
      <c r="C12" s="2" t="s">
        <v>32</v>
      </c>
      <c r="D12" s="2">
        <v>2</v>
      </c>
      <c r="E12" s="2">
        <v>158412701</v>
      </c>
      <c r="F12" s="60" t="s">
        <v>33</v>
      </c>
      <c r="G12" s="2" t="s">
        <v>34</v>
      </c>
      <c r="I12" s="2" t="s">
        <v>23</v>
      </c>
      <c r="J12" s="2" t="s">
        <v>24</v>
      </c>
      <c r="K12" s="8"/>
      <c r="L12" s="1">
        <v>455526</v>
      </c>
      <c r="M12" s="4">
        <v>0.98899999999999999</v>
      </c>
      <c r="N12" s="4">
        <v>6.5199999999999994E-2</v>
      </c>
      <c r="O12" s="4">
        <v>1.0500000000000001E-2</v>
      </c>
      <c r="P12" s="3">
        <v>4.8099999999999999E-10</v>
      </c>
      <c r="Q12" s="7">
        <v>420569</v>
      </c>
      <c r="R12" s="45">
        <v>0.98839999999999995</v>
      </c>
      <c r="S12" s="45">
        <v>6.3299999999999995E-2</v>
      </c>
      <c r="T12" s="45">
        <v>1.06E-2</v>
      </c>
      <c r="U12" s="18">
        <v>2.1700000000000002E-9</v>
      </c>
      <c r="V12" s="8"/>
      <c r="W12" s="1">
        <v>323449</v>
      </c>
      <c r="X12" s="4">
        <v>0.99080000000000001</v>
      </c>
      <c r="Y12" s="4">
        <v>4.5499999999999999E-2</v>
      </c>
      <c r="Z12" s="4">
        <v>1.32E-2</v>
      </c>
      <c r="AA12" s="5">
        <v>5.62E-4</v>
      </c>
      <c r="AB12" s="19">
        <v>288492</v>
      </c>
      <c r="AC12" s="29">
        <v>0.9899</v>
      </c>
      <c r="AD12" s="29">
        <v>4.1799999999999997E-2</v>
      </c>
      <c r="AE12" s="29">
        <v>1.34E-2</v>
      </c>
      <c r="AF12" s="16">
        <v>1.7600000000000001E-3</v>
      </c>
      <c r="AG12" s="9"/>
      <c r="AH12" s="1">
        <v>119472</v>
      </c>
      <c r="AI12" s="4">
        <v>0.98792999999999997</v>
      </c>
      <c r="AJ12" s="4">
        <v>0.10730000000000001</v>
      </c>
      <c r="AK12" s="4">
        <v>1.873E-2</v>
      </c>
      <c r="AL12" s="5">
        <v>1.0099999999999999E-8</v>
      </c>
      <c r="AM12" s="14">
        <v>0.14430000000000001</v>
      </c>
      <c r="AN12" s="10" t="s">
        <v>1</v>
      </c>
      <c r="AO12" s="9"/>
      <c r="AP12" s="1">
        <v>12605</v>
      </c>
      <c r="AQ12" s="4">
        <v>0.97548000000000001</v>
      </c>
      <c r="AR12" s="4">
        <v>5.1999999999999998E-2</v>
      </c>
      <c r="AS12" s="4">
        <v>4.35684E-2</v>
      </c>
      <c r="AT12" s="1">
        <v>0.23266400000000001</v>
      </c>
      <c r="AU12" s="10">
        <v>0.99405500000000002</v>
      </c>
    </row>
    <row r="13" spans="1:104" ht="45" x14ac:dyDescent="0.25">
      <c r="A13" s="7" t="s">
        <v>900</v>
      </c>
      <c r="B13" s="904">
        <v>8</v>
      </c>
      <c r="C13" s="2" t="s">
        <v>37</v>
      </c>
      <c r="D13" s="2">
        <v>2</v>
      </c>
      <c r="E13" s="2">
        <v>165551201</v>
      </c>
      <c r="F13" s="60" t="s">
        <v>38</v>
      </c>
      <c r="G13" s="2" t="s">
        <v>39</v>
      </c>
      <c r="H13" s="889" t="s">
        <v>40</v>
      </c>
      <c r="I13" s="2" t="s">
        <v>23</v>
      </c>
      <c r="J13" s="2" t="s">
        <v>17</v>
      </c>
      <c r="K13" s="8"/>
      <c r="L13" s="1">
        <v>389883</v>
      </c>
      <c r="M13" s="4">
        <v>0.87909999999999999</v>
      </c>
      <c r="N13" s="4">
        <v>2.6200000000000001E-2</v>
      </c>
      <c r="O13" s="4">
        <v>3.5000000000000001E-3</v>
      </c>
      <c r="P13" s="3">
        <v>1.59E-13</v>
      </c>
      <c r="Q13" s="7">
        <v>361633</v>
      </c>
      <c r="R13" s="45">
        <v>0.87829999999999997</v>
      </c>
      <c r="S13" s="45">
        <v>2.6599999999999999E-2</v>
      </c>
      <c r="T13" s="45">
        <v>3.5999999999999999E-3</v>
      </c>
      <c r="U13" s="18">
        <v>3.1099999999999999E-13</v>
      </c>
      <c r="V13" s="8"/>
      <c r="W13" s="1">
        <v>257706</v>
      </c>
      <c r="X13" s="4">
        <v>0.87939999999999996</v>
      </c>
      <c r="Y13" s="4">
        <v>2.64E-2</v>
      </c>
      <c r="Z13" s="4">
        <v>4.4000000000000003E-3</v>
      </c>
      <c r="AA13" s="5">
        <v>1.9399999999999999E-9</v>
      </c>
      <c r="AB13" s="19">
        <v>229456</v>
      </c>
      <c r="AC13" s="29">
        <v>0.87819999999999998</v>
      </c>
      <c r="AD13" s="29">
        <v>2.7099999999999999E-2</v>
      </c>
      <c r="AE13" s="29">
        <v>4.5999999999999999E-3</v>
      </c>
      <c r="AF13" s="16">
        <v>5.3100000000000001E-9</v>
      </c>
      <c r="AG13" s="9"/>
      <c r="AH13" s="1">
        <v>119572</v>
      </c>
      <c r="AI13" s="4">
        <v>0.88129000000000002</v>
      </c>
      <c r="AJ13" s="4">
        <v>2.9052000000000001E-2</v>
      </c>
      <c r="AK13" s="4">
        <v>6.3131999999999997E-3</v>
      </c>
      <c r="AL13" s="5">
        <v>4.1899999999999997E-6</v>
      </c>
      <c r="AM13" s="14"/>
      <c r="AN13" s="10">
        <v>0.99756800000000001</v>
      </c>
      <c r="AO13" s="9"/>
      <c r="AP13" s="1">
        <v>12605</v>
      </c>
      <c r="AQ13" s="4">
        <v>0.85274000000000005</v>
      </c>
      <c r="AR13" s="4">
        <v>-4.0000000000000001E-3</v>
      </c>
      <c r="AS13" s="4">
        <v>1.8873600000000001E-2</v>
      </c>
      <c r="AT13" s="1">
        <v>0.83215700000000004</v>
      </c>
      <c r="AU13" s="10">
        <v>0.99975800000000004</v>
      </c>
    </row>
    <row r="14" spans="1:104" x14ac:dyDescent="0.25">
      <c r="A14" s="7" t="s">
        <v>900</v>
      </c>
      <c r="B14" s="904">
        <v>9</v>
      </c>
      <c r="C14" s="2" t="s">
        <v>42</v>
      </c>
      <c r="D14" s="2">
        <v>2</v>
      </c>
      <c r="E14" s="2">
        <v>188343497</v>
      </c>
      <c r="F14" s="60" t="s">
        <v>43</v>
      </c>
      <c r="G14" s="2" t="s">
        <v>44</v>
      </c>
      <c r="H14" s="889" t="s">
        <v>45</v>
      </c>
      <c r="I14" s="2" t="s">
        <v>23</v>
      </c>
      <c r="J14" s="2" t="s">
        <v>17</v>
      </c>
      <c r="K14" s="8"/>
      <c r="L14" s="1">
        <v>452638</v>
      </c>
      <c r="M14" s="4">
        <v>0.69699999999999995</v>
      </c>
      <c r="N14" s="4">
        <v>1.6400000000000001E-2</v>
      </c>
      <c r="O14" s="4">
        <v>2.3E-3</v>
      </c>
      <c r="P14" s="3">
        <v>3.0099999999999999E-12</v>
      </c>
      <c r="Q14" s="7">
        <v>396761</v>
      </c>
      <c r="R14" s="45">
        <v>0.69520000000000004</v>
      </c>
      <c r="S14" s="45">
        <v>1.9199999999999998E-2</v>
      </c>
      <c r="T14" s="45">
        <v>2.5000000000000001E-3</v>
      </c>
      <c r="U14" s="18">
        <v>2.3E-14</v>
      </c>
      <c r="V14" s="8"/>
      <c r="W14" s="1">
        <v>320610</v>
      </c>
      <c r="X14" s="4">
        <v>0.69389999999999996</v>
      </c>
      <c r="Y14" s="4">
        <v>1.3299999999999999E-2</v>
      </c>
      <c r="Z14" s="4">
        <v>2.8E-3</v>
      </c>
      <c r="AA14" s="5">
        <v>1.8300000000000001E-6</v>
      </c>
      <c r="AB14" s="19">
        <v>264733</v>
      </c>
      <c r="AC14" s="29">
        <v>0.6905</v>
      </c>
      <c r="AD14" s="29">
        <v>1.6899999999999998E-2</v>
      </c>
      <c r="AE14" s="29">
        <v>3.0999999999999999E-3</v>
      </c>
      <c r="AF14" s="16">
        <v>3.6699999999999998E-8</v>
      </c>
      <c r="AG14" s="9"/>
      <c r="AH14" s="1">
        <v>119423</v>
      </c>
      <c r="AI14" s="4">
        <v>0.70640000000000003</v>
      </c>
      <c r="AJ14" s="4">
        <v>2.4170000000000001E-2</v>
      </c>
      <c r="AK14" s="4">
        <v>4.4949999999999999E-3</v>
      </c>
      <c r="AL14" s="5">
        <v>7.61E-8</v>
      </c>
      <c r="AM14" s="14">
        <v>0.12939999999999999</v>
      </c>
      <c r="AN14" s="10" t="s">
        <v>1</v>
      </c>
      <c r="AO14" s="9"/>
      <c r="AP14" s="1">
        <v>12605</v>
      </c>
      <c r="AQ14" s="4">
        <v>0.68301000000000001</v>
      </c>
      <c r="AR14" s="4">
        <v>1.7000000000000001E-2</v>
      </c>
      <c r="AS14" s="4">
        <v>1.42449E-2</v>
      </c>
      <c r="AT14" s="1">
        <v>0.23271</v>
      </c>
      <c r="AU14" s="10">
        <v>0.99996600000000002</v>
      </c>
    </row>
    <row r="15" spans="1:104" x14ac:dyDescent="0.25">
      <c r="A15" s="7" t="s">
        <v>900</v>
      </c>
      <c r="B15" s="1301">
        <v>10</v>
      </c>
      <c r="C15" s="2" t="s">
        <v>909</v>
      </c>
      <c r="D15" s="2">
        <v>3</v>
      </c>
      <c r="E15" s="2">
        <v>47125385</v>
      </c>
      <c r="F15" s="60" t="s">
        <v>910</v>
      </c>
      <c r="G15" s="2" t="s">
        <v>911</v>
      </c>
      <c r="I15" s="2" t="s">
        <v>16</v>
      </c>
      <c r="J15" s="2" t="s">
        <v>24</v>
      </c>
      <c r="K15" s="8"/>
      <c r="L15" s="1">
        <v>344369</v>
      </c>
      <c r="M15" s="4">
        <v>0.55879999999999996</v>
      </c>
      <c r="N15" s="4">
        <v>1.2800000000000001E-2</v>
      </c>
      <c r="O15" s="4">
        <v>2.5000000000000001E-3</v>
      </c>
      <c r="P15" s="3">
        <v>4.6800000000000001E-7</v>
      </c>
      <c r="Q15" s="7">
        <v>288492</v>
      </c>
      <c r="R15" s="45">
        <v>0.57640000000000002</v>
      </c>
      <c r="S15" s="45">
        <v>1.21E-2</v>
      </c>
      <c r="T15" s="45">
        <v>2.8E-3</v>
      </c>
      <c r="U15" s="18">
        <v>1.5500000000000001E-5</v>
      </c>
      <c r="V15" s="8"/>
      <c r="W15" s="1">
        <v>344369</v>
      </c>
      <c r="X15" s="4">
        <v>0.55878160899999996</v>
      </c>
      <c r="Y15" s="4">
        <v>1.2778833999999999E-2</v>
      </c>
      <c r="Z15" s="4">
        <v>2.5360040000000001E-3</v>
      </c>
      <c r="AA15" s="5">
        <v>4.6800000000000001E-7</v>
      </c>
      <c r="AB15" s="19">
        <v>288492</v>
      </c>
      <c r="AC15" s="29">
        <v>0.57644781199999995</v>
      </c>
      <c r="AD15" s="29">
        <v>1.2061241E-2</v>
      </c>
      <c r="AE15" s="29">
        <v>2.7746189999999999E-3</v>
      </c>
      <c r="AF15" s="16">
        <v>1.38E-5</v>
      </c>
      <c r="AG15" s="9"/>
      <c r="AH15" s="1"/>
      <c r="AI15" s="4"/>
      <c r="AJ15" s="4"/>
      <c r="AK15" s="4"/>
      <c r="AL15" s="5"/>
      <c r="AM15" s="14"/>
      <c r="AN15" s="10"/>
      <c r="AO15" s="9"/>
      <c r="AP15" s="1"/>
      <c r="AQ15" s="4"/>
      <c r="AR15" s="4"/>
      <c r="AS15" s="4"/>
      <c r="AT15" s="1"/>
      <c r="AU15" s="10"/>
    </row>
    <row r="16" spans="1:104" x14ac:dyDescent="0.25">
      <c r="A16" s="7" t="s">
        <v>900</v>
      </c>
      <c r="B16" s="1301"/>
      <c r="C16" s="2" t="s">
        <v>912</v>
      </c>
      <c r="D16" s="2">
        <v>3</v>
      </c>
      <c r="E16" s="2">
        <v>47282303</v>
      </c>
      <c r="F16" s="60" t="s">
        <v>913</v>
      </c>
      <c r="G16" s="2" t="s">
        <v>914</v>
      </c>
      <c r="I16" s="2" t="s">
        <v>16</v>
      </c>
      <c r="J16" s="2" t="s">
        <v>24</v>
      </c>
      <c r="K16" s="8"/>
      <c r="L16" s="1">
        <v>344369</v>
      </c>
      <c r="M16" s="4">
        <v>0.58989999999999998</v>
      </c>
      <c r="N16" s="4">
        <v>1.3100000000000001E-2</v>
      </c>
      <c r="O16" s="4">
        <v>2.5000000000000001E-3</v>
      </c>
      <c r="P16" s="3">
        <v>2.8000000000000002E-7</v>
      </c>
      <c r="Q16" s="7">
        <v>288492</v>
      </c>
      <c r="R16" s="45">
        <v>0.59560000000000002</v>
      </c>
      <c r="S16" s="45">
        <v>1.23E-2</v>
      </c>
      <c r="T16" s="45">
        <v>2.8E-3</v>
      </c>
      <c r="U16" s="18">
        <v>1.1199999999999999E-5</v>
      </c>
      <c r="V16" s="8"/>
      <c r="W16" s="1">
        <v>344369</v>
      </c>
      <c r="X16" s="4">
        <v>0.58986828199999997</v>
      </c>
      <c r="Y16" s="4">
        <v>1.3053670999999999E-2</v>
      </c>
      <c r="Z16" s="4">
        <v>2.541251E-3</v>
      </c>
      <c r="AA16" s="5">
        <v>2.8000000000000002E-7</v>
      </c>
      <c r="AB16" s="19">
        <v>288492</v>
      </c>
      <c r="AC16" s="29">
        <v>0.59558382799999998</v>
      </c>
      <c r="AD16" s="29">
        <v>1.2274780000000001E-2</v>
      </c>
      <c r="AE16" s="29">
        <v>2.7934840000000002E-3</v>
      </c>
      <c r="AF16" s="16">
        <v>1.11E-5</v>
      </c>
      <c r="AG16" s="9"/>
      <c r="AH16" s="1"/>
      <c r="AI16" s="4"/>
      <c r="AJ16" s="4"/>
      <c r="AK16" s="4"/>
      <c r="AL16" s="5"/>
      <c r="AM16" s="14"/>
      <c r="AN16" s="10" t="s">
        <v>1</v>
      </c>
      <c r="AO16" s="9"/>
      <c r="AP16" s="1"/>
      <c r="AQ16" s="4"/>
      <c r="AR16" s="4"/>
      <c r="AS16" s="4"/>
      <c r="AT16" s="1"/>
      <c r="AU16" s="10"/>
    </row>
    <row r="17" spans="1:47" x14ac:dyDescent="0.25">
      <c r="A17" s="7" t="s">
        <v>900</v>
      </c>
      <c r="B17" s="904">
        <v>11</v>
      </c>
      <c r="C17" s="2" t="s">
        <v>47</v>
      </c>
      <c r="D17" s="2">
        <v>3</v>
      </c>
      <c r="E17" s="2">
        <v>50597092</v>
      </c>
      <c r="F17" s="60" t="s">
        <v>48</v>
      </c>
      <c r="G17" s="2" t="s">
        <v>49</v>
      </c>
      <c r="I17" s="2" t="s">
        <v>24</v>
      </c>
      <c r="J17" s="2" t="s">
        <v>16</v>
      </c>
      <c r="K17" s="8"/>
      <c r="L17" s="1">
        <v>455424</v>
      </c>
      <c r="M17" s="4">
        <v>0.1348</v>
      </c>
      <c r="N17" s="4">
        <v>1.6299999999999999E-2</v>
      </c>
      <c r="O17" s="4">
        <v>3.0999999999999999E-3</v>
      </c>
      <c r="P17" s="3">
        <v>1.8699999999999999E-7</v>
      </c>
      <c r="Q17" s="7">
        <v>420467</v>
      </c>
      <c r="R17" s="45">
        <v>0.13020000000000001</v>
      </c>
      <c r="S17" s="45">
        <v>1.6500000000000001E-2</v>
      </c>
      <c r="T17" s="45">
        <v>3.3E-3</v>
      </c>
      <c r="U17" s="18">
        <v>5.9599999999999999E-7</v>
      </c>
      <c r="V17" s="8"/>
      <c r="W17" s="1">
        <v>323449</v>
      </c>
      <c r="X17" s="4">
        <v>0.1371</v>
      </c>
      <c r="Y17" s="4">
        <v>0.02</v>
      </c>
      <c r="Z17" s="4">
        <v>3.7000000000000002E-3</v>
      </c>
      <c r="AA17" s="5">
        <v>8.8500000000000005E-8</v>
      </c>
      <c r="AB17" s="19">
        <v>288492</v>
      </c>
      <c r="AC17" s="29">
        <v>0.13059999999999999</v>
      </c>
      <c r="AD17" s="29">
        <v>2.0899999999999998E-2</v>
      </c>
      <c r="AE17" s="29">
        <v>4.0000000000000001E-3</v>
      </c>
      <c r="AF17" s="16">
        <v>2.0900000000000001E-7</v>
      </c>
      <c r="AG17" s="9"/>
      <c r="AH17" s="1">
        <v>119370</v>
      </c>
      <c r="AI17" s="4">
        <v>0.1295</v>
      </c>
      <c r="AJ17" s="4">
        <v>5.5079999999999999E-3</v>
      </c>
      <c r="AK17" s="4">
        <v>6.0920000000000002E-3</v>
      </c>
      <c r="AL17" s="5">
        <v>0.36599999999999999</v>
      </c>
      <c r="AM17" s="14">
        <v>0.53059999999999996</v>
      </c>
      <c r="AN17" s="10"/>
      <c r="AO17" s="9"/>
      <c r="AP17" s="1">
        <v>12605</v>
      </c>
      <c r="AQ17" s="4">
        <v>0.12595000000000001</v>
      </c>
      <c r="AR17" s="4">
        <v>2.4E-2</v>
      </c>
      <c r="AS17" s="4">
        <v>2.0195600000000001E-2</v>
      </c>
      <c r="AT17" s="1">
        <v>0.234684</v>
      </c>
      <c r="AU17" s="10">
        <v>0.99963199999999997</v>
      </c>
    </row>
    <row r="18" spans="1:47" x14ac:dyDescent="0.25">
      <c r="A18" s="7" t="s">
        <v>900</v>
      </c>
      <c r="B18" s="1301">
        <v>12</v>
      </c>
      <c r="C18" s="2" t="s">
        <v>51</v>
      </c>
      <c r="D18" s="2">
        <v>3</v>
      </c>
      <c r="E18" s="2">
        <v>52558008</v>
      </c>
      <c r="F18" s="60" t="s">
        <v>915</v>
      </c>
      <c r="G18" s="2" t="s">
        <v>52</v>
      </c>
      <c r="H18" s="1233" t="s">
        <v>53</v>
      </c>
      <c r="I18" s="2" t="s">
        <v>23</v>
      </c>
      <c r="J18" s="2" t="s">
        <v>17</v>
      </c>
      <c r="K18" s="8"/>
      <c r="L18" s="1">
        <v>470111</v>
      </c>
      <c r="M18" s="4">
        <v>0.44540000000000002</v>
      </c>
      <c r="N18" s="4">
        <v>1.8700000000000001E-2</v>
      </c>
      <c r="O18" s="4">
        <v>2.2000000000000001E-3</v>
      </c>
      <c r="P18" s="3">
        <v>5.4700000000000002E-18</v>
      </c>
      <c r="Q18" s="7">
        <v>415030</v>
      </c>
      <c r="R18" s="45">
        <v>0.43380000000000002</v>
      </c>
      <c r="S18" s="45">
        <v>2.06E-2</v>
      </c>
      <c r="T18" s="45">
        <v>2.3E-3</v>
      </c>
      <c r="U18" s="18">
        <v>1.9600000000000001E-19</v>
      </c>
      <c r="V18" s="8"/>
      <c r="W18" s="1">
        <v>338635</v>
      </c>
      <c r="X18" s="4">
        <v>0.44789999999999996</v>
      </c>
      <c r="Y18" s="4">
        <v>1.8499999999999999E-2</v>
      </c>
      <c r="Z18" s="4">
        <v>2.5999999999999999E-3</v>
      </c>
      <c r="AA18" s="5">
        <v>1.2600000000000001E-12</v>
      </c>
      <c r="AB18" s="19">
        <v>283554</v>
      </c>
      <c r="AC18" s="29">
        <v>0.43080000000000002</v>
      </c>
      <c r="AD18" s="29">
        <v>2.12E-2</v>
      </c>
      <c r="AE18" s="29">
        <v>2.8E-3</v>
      </c>
      <c r="AF18" s="16">
        <v>1.03E-13</v>
      </c>
      <c r="AG18" s="9"/>
      <c r="AH18" s="1">
        <v>118871</v>
      </c>
      <c r="AI18" s="4">
        <v>0.44130000000000003</v>
      </c>
      <c r="AJ18" s="4">
        <v>2.0760000000000001E-2</v>
      </c>
      <c r="AK18" s="4">
        <v>4.1279999999999997E-3</v>
      </c>
      <c r="AL18" s="5">
        <v>4.8999999999999997E-7</v>
      </c>
      <c r="AM18" s="14">
        <v>0.5655</v>
      </c>
      <c r="AN18" s="10"/>
      <c r="AO18" s="9"/>
      <c r="AP18" s="1">
        <v>12605</v>
      </c>
      <c r="AQ18" s="4">
        <v>0.42359999999999998</v>
      </c>
      <c r="AR18" s="4">
        <v>5.0000000000000001E-3</v>
      </c>
      <c r="AS18" s="4">
        <v>1.2992399999999999E-2</v>
      </c>
      <c r="AT18" s="1">
        <v>0.70035499999999995</v>
      </c>
      <c r="AU18" s="10">
        <v>0.99944200000000005</v>
      </c>
    </row>
    <row r="19" spans="1:47" x14ac:dyDescent="0.25">
      <c r="A19" s="7" t="s">
        <v>900</v>
      </c>
      <c r="B19" s="1301"/>
      <c r="C19" s="2" t="s">
        <v>55</v>
      </c>
      <c r="D19" s="2">
        <v>3</v>
      </c>
      <c r="E19" s="2">
        <v>52833805</v>
      </c>
      <c r="F19" s="60" t="s">
        <v>916</v>
      </c>
      <c r="G19" s="2" t="s">
        <v>56</v>
      </c>
      <c r="H19" s="1233"/>
      <c r="I19" s="2" t="s">
        <v>17</v>
      </c>
      <c r="J19" s="2" t="s">
        <v>16</v>
      </c>
      <c r="K19" s="8"/>
      <c r="L19" s="1">
        <v>452150</v>
      </c>
      <c r="M19" s="4">
        <v>0.54069999999999996</v>
      </c>
      <c r="N19" s="4">
        <v>1.52E-2</v>
      </c>
      <c r="O19" s="4">
        <v>2.2000000000000001E-3</v>
      </c>
      <c r="P19" s="3">
        <v>1.56E-12</v>
      </c>
      <c r="Q19" s="7">
        <v>396273</v>
      </c>
      <c r="R19" s="45">
        <v>0.54200000000000004</v>
      </c>
      <c r="S19" s="45">
        <v>1.7500000000000002E-2</v>
      </c>
      <c r="T19" s="45">
        <v>2.3E-3</v>
      </c>
      <c r="U19" s="18">
        <v>5.1600000000000002E-14</v>
      </c>
      <c r="V19" s="8"/>
      <c r="W19" s="1">
        <v>320225</v>
      </c>
      <c r="X19" s="4">
        <v>0.53659999999999997</v>
      </c>
      <c r="Y19" s="4">
        <v>1.46E-2</v>
      </c>
      <c r="Z19" s="4">
        <v>2.5999999999999999E-3</v>
      </c>
      <c r="AA19" s="5">
        <v>3.7200000000000002E-8</v>
      </c>
      <c r="AB19" s="19">
        <v>264348</v>
      </c>
      <c r="AC19" s="29">
        <v>0.53759999999999997</v>
      </c>
      <c r="AD19" s="29">
        <v>1.7899999999999999E-2</v>
      </c>
      <c r="AE19" s="29">
        <v>2.8999999999999998E-3</v>
      </c>
      <c r="AF19" s="16">
        <v>6.7600000000000004E-10</v>
      </c>
      <c r="AG19" s="9"/>
      <c r="AH19" s="1">
        <v>119320</v>
      </c>
      <c r="AI19" s="4">
        <v>0.55049999999999999</v>
      </c>
      <c r="AJ19" s="4">
        <v>1.8769999999999998E-2</v>
      </c>
      <c r="AK19" s="4">
        <v>4.1120000000000002E-3</v>
      </c>
      <c r="AL19" s="5">
        <v>4.9899999999999997E-6</v>
      </c>
      <c r="AM19" s="14">
        <v>0.66180000000000005</v>
      </c>
      <c r="AN19" s="10"/>
      <c r="AO19" s="9"/>
      <c r="AP19" s="1">
        <v>12605</v>
      </c>
      <c r="AQ19" s="4">
        <v>0.54373000000000005</v>
      </c>
      <c r="AR19" s="4">
        <v>1E-3</v>
      </c>
      <c r="AS19" s="4">
        <v>1.12231E-2</v>
      </c>
      <c r="AT19" s="1">
        <v>0.92900099999999997</v>
      </c>
      <c r="AU19" s="10">
        <v>0.99976799999999999</v>
      </c>
    </row>
    <row r="20" spans="1:47" x14ac:dyDescent="0.25">
      <c r="A20" s="7" t="s">
        <v>900</v>
      </c>
      <c r="B20" s="1301">
        <v>13</v>
      </c>
      <c r="C20" s="2" t="s">
        <v>58</v>
      </c>
      <c r="D20" s="2">
        <v>3</v>
      </c>
      <c r="E20" s="2">
        <v>129137188</v>
      </c>
      <c r="F20" s="60" t="s">
        <v>917</v>
      </c>
      <c r="G20" s="2" t="s">
        <v>59</v>
      </c>
      <c r="H20" s="1233" t="s">
        <v>60</v>
      </c>
      <c r="I20" s="2" t="s">
        <v>17</v>
      </c>
      <c r="J20" s="2" t="s">
        <v>23</v>
      </c>
      <c r="K20" s="8"/>
      <c r="L20" s="1">
        <v>476382</v>
      </c>
      <c r="M20" s="4">
        <v>0.93610000000000004</v>
      </c>
      <c r="N20" s="4">
        <v>3.5700000000000003E-2</v>
      </c>
      <c r="O20" s="4">
        <v>4.3E-3</v>
      </c>
      <c r="P20" s="3">
        <v>8.3000000000000005E-17</v>
      </c>
      <c r="Q20" s="7">
        <v>420505</v>
      </c>
      <c r="R20" s="45">
        <v>0.93030000000000002</v>
      </c>
      <c r="S20" s="45">
        <v>3.7999999999999999E-2</v>
      </c>
      <c r="T20" s="45">
        <v>4.3E-3</v>
      </c>
      <c r="U20" s="18">
        <v>2.3999999999999999E-18</v>
      </c>
      <c r="V20" s="8"/>
      <c r="W20" s="1">
        <v>344369</v>
      </c>
      <c r="X20" s="4">
        <v>0.93969999999999998</v>
      </c>
      <c r="Y20" s="4">
        <v>3.2099999999999997E-2</v>
      </c>
      <c r="Z20" s="4">
        <v>5.1999999999999998E-3</v>
      </c>
      <c r="AA20" s="5">
        <v>5.6200000000000002E-10</v>
      </c>
      <c r="AB20" s="19">
        <v>288492</v>
      </c>
      <c r="AC20" s="29">
        <v>0.93120000000000003</v>
      </c>
      <c r="AD20" s="29">
        <v>3.5299999999999998E-2</v>
      </c>
      <c r="AE20" s="29">
        <v>5.3E-3</v>
      </c>
      <c r="AF20" s="16">
        <v>2.9699999999999998E-11</v>
      </c>
      <c r="AG20" s="9"/>
      <c r="AH20" s="1">
        <v>119408</v>
      </c>
      <c r="AI20" s="4">
        <v>0.92864000000000002</v>
      </c>
      <c r="AJ20" s="4">
        <v>4.215E-2</v>
      </c>
      <c r="AK20" s="4">
        <v>7.9430000000000004E-3</v>
      </c>
      <c r="AL20" s="5">
        <v>1.12E-7</v>
      </c>
      <c r="AM20" s="14">
        <v>0.48599999999999999</v>
      </c>
      <c r="AN20" s="10"/>
      <c r="AO20" s="9"/>
      <c r="AP20" s="1">
        <v>12605</v>
      </c>
      <c r="AQ20" s="4">
        <v>0.92795000000000005</v>
      </c>
      <c r="AR20" s="4">
        <v>5.6000000000000001E-2</v>
      </c>
      <c r="AS20" s="4">
        <v>2.5440600000000001E-2</v>
      </c>
      <c r="AT20" s="1">
        <v>2.77214E-2</v>
      </c>
      <c r="AU20" s="10">
        <v>0.99748199999999998</v>
      </c>
    </row>
    <row r="21" spans="1:47" x14ac:dyDescent="0.25">
      <c r="A21" s="7" t="s">
        <v>900</v>
      </c>
      <c r="B21" s="1301"/>
      <c r="C21" s="2" t="s">
        <v>62</v>
      </c>
      <c r="D21" s="2">
        <v>3</v>
      </c>
      <c r="E21" s="2">
        <v>129284818</v>
      </c>
      <c r="F21" s="1303" t="s">
        <v>216</v>
      </c>
      <c r="G21" s="2" t="s">
        <v>63</v>
      </c>
      <c r="H21" s="1233"/>
      <c r="I21" s="2" t="s">
        <v>16</v>
      </c>
      <c r="J21" s="2" t="s">
        <v>17</v>
      </c>
      <c r="K21" s="8"/>
      <c r="L21" s="1">
        <v>476338</v>
      </c>
      <c r="M21" s="4">
        <v>0.73280000000000001</v>
      </c>
      <c r="N21" s="4">
        <v>1.5599999999999999E-2</v>
      </c>
      <c r="O21" s="4">
        <v>2.3999999999999998E-3</v>
      </c>
      <c r="P21" s="3">
        <v>9.1599999999999999E-11</v>
      </c>
      <c r="Q21" s="7">
        <v>420461</v>
      </c>
      <c r="R21" s="45">
        <v>0.72189999999999999</v>
      </c>
      <c r="S21" s="45">
        <v>1.7100000000000001E-2</v>
      </c>
      <c r="T21" s="45">
        <v>2.5000000000000001E-3</v>
      </c>
      <c r="U21" s="18">
        <v>1.1800000000000001E-11</v>
      </c>
      <c r="V21" s="8"/>
      <c r="W21" s="1">
        <v>344369</v>
      </c>
      <c r="X21" s="4">
        <v>0.74320000000000008</v>
      </c>
      <c r="Y21" s="4">
        <v>1.2500000000000001E-2</v>
      </c>
      <c r="Z21" s="4">
        <v>2.8999999999999998E-3</v>
      </c>
      <c r="AA21" s="5">
        <v>1.38E-5</v>
      </c>
      <c r="AB21" s="19">
        <v>288492</v>
      </c>
      <c r="AC21" s="29">
        <v>0.72819999999999996</v>
      </c>
      <c r="AD21" s="29">
        <v>1.43E-2</v>
      </c>
      <c r="AE21" s="29">
        <v>3.0999999999999999E-3</v>
      </c>
      <c r="AF21" s="16">
        <v>3.1200000000000002E-6</v>
      </c>
      <c r="AG21" s="9"/>
      <c r="AH21" s="1">
        <v>119364</v>
      </c>
      <c r="AI21" s="4">
        <v>0.71260000000000001</v>
      </c>
      <c r="AJ21" s="4">
        <v>2.3609999999999999E-2</v>
      </c>
      <c r="AK21" s="4">
        <v>4.5279999999999999E-3</v>
      </c>
      <c r="AL21" s="5">
        <v>1.8400000000000001E-7</v>
      </c>
      <c r="AM21" s="14">
        <v>4.0349999999999997E-2</v>
      </c>
      <c r="AN21" s="10"/>
      <c r="AO21" s="9"/>
      <c r="AP21" s="1">
        <v>12605</v>
      </c>
      <c r="AQ21" s="4">
        <v>0.68118999999999996</v>
      </c>
      <c r="AR21" s="4">
        <v>1.0999999999999999E-2</v>
      </c>
      <c r="AS21" s="4">
        <v>1.4164700000000001E-2</v>
      </c>
      <c r="AT21" s="1">
        <v>0.43740600000000002</v>
      </c>
      <c r="AU21" s="10">
        <v>0.99964799999999998</v>
      </c>
    </row>
    <row r="22" spans="1:47" x14ac:dyDescent="0.25">
      <c r="A22" s="7" t="s">
        <v>900</v>
      </c>
      <c r="B22" s="1301"/>
      <c r="C22" s="2" t="s">
        <v>215</v>
      </c>
      <c r="D22" s="2">
        <v>3</v>
      </c>
      <c r="E22" s="2">
        <v>129293256</v>
      </c>
      <c r="F22" s="1303"/>
      <c r="G22" s="2" t="s">
        <v>217</v>
      </c>
      <c r="H22" s="1233"/>
      <c r="I22" s="2" t="s">
        <v>23</v>
      </c>
      <c r="J22" s="2" t="s">
        <v>17</v>
      </c>
      <c r="K22" s="8"/>
      <c r="L22" s="1">
        <v>476397</v>
      </c>
      <c r="M22" s="4">
        <v>0.60529999999999995</v>
      </c>
      <c r="N22" s="4">
        <v>1.11E-2</v>
      </c>
      <c r="O22" s="4">
        <v>2.2000000000000001E-3</v>
      </c>
      <c r="P22" s="3">
        <v>4.01E-7</v>
      </c>
      <c r="Q22" s="7">
        <v>420520</v>
      </c>
      <c r="R22" s="45">
        <v>0.61980000000000002</v>
      </c>
      <c r="S22" s="45">
        <v>1.3599999999999999E-2</v>
      </c>
      <c r="T22" s="45">
        <v>2.3E-3</v>
      </c>
      <c r="U22" s="18">
        <v>3.1399999999999999E-9</v>
      </c>
      <c r="V22" s="8"/>
      <c r="W22" s="1">
        <v>344369</v>
      </c>
      <c r="X22" s="4">
        <v>0.60160000000000002</v>
      </c>
      <c r="Y22" s="4">
        <v>9.2999999999999992E-3</v>
      </c>
      <c r="Z22" s="4">
        <v>2.5999999999999999E-3</v>
      </c>
      <c r="AA22" s="5">
        <v>2.7500000000000002E-4</v>
      </c>
      <c r="AB22" s="19">
        <v>288492</v>
      </c>
      <c r="AC22" s="29">
        <v>0.62250000000000005</v>
      </c>
      <c r="AD22" s="29">
        <v>1.2800000000000001E-2</v>
      </c>
      <c r="AE22" s="29">
        <v>2.8E-3</v>
      </c>
      <c r="AF22" s="16">
        <v>5.0900000000000004E-6</v>
      </c>
      <c r="AG22" s="9"/>
      <c r="AH22" s="1">
        <v>119423</v>
      </c>
      <c r="AI22" s="4">
        <v>0.61550000000000005</v>
      </c>
      <c r="AJ22" s="4">
        <v>1.5949999999999999E-2</v>
      </c>
      <c r="AK22" s="4">
        <v>4.1999999999999997E-3</v>
      </c>
      <c r="AL22" s="5">
        <v>1.47E-4</v>
      </c>
      <c r="AM22" s="14">
        <v>0.95620000000000005</v>
      </c>
      <c r="AN22" s="10"/>
      <c r="AO22" s="9"/>
      <c r="AP22" s="1">
        <v>12605</v>
      </c>
      <c r="AQ22" s="4">
        <v>0.60001000000000004</v>
      </c>
      <c r="AR22" s="4">
        <v>8.0000000000000002E-3</v>
      </c>
      <c r="AS22" s="4">
        <v>1.3857100000000001E-2</v>
      </c>
      <c r="AT22" s="1">
        <v>0.56372199999999995</v>
      </c>
      <c r="AU22" s="10">
        <v>0.99819100000000005</v>
      </c>
    </row>
    <row r="23" spans="1:47" x14ac:dyDescent="0.25">
      <c r="A23" s="7" t="s">
        <v>900</v>
      </c>
      <c r="B23" s="1301">
        <v>14</v>
      </c>
      <c r="C23" s="2" t="s">
        <v>65</v>
      </c>
      <c r="D23" s="2">
        <v>4</v>
      </c>
      <c r="E23" s="2">
        <v>89625427</v>
      </c>
      <c r="F23" s="60" t="s">
        <v>918</v>
      </c>
      <c r="G23" s="2" t="s">
        <v>66</v>
      </c>
      <c r="H23" s="1233" t="s">
        <v>67</v>
      </c>
      <c r="I23" s="2" t="s">
        <v>24</v>
      </c>
      <c r="J23" s="2" t="s">
        <v>17</v>
      </c>
      <c r="K23" s="8"/>
      <c r="L23" s="1">
        <v>446080</v>
      </c>
      <c r="M23" s="4">
        <v>0.83809999999999996</v>
      </c>
      <c r="N23" s="4">
        <v>2.06E-2</v>
      </c>
      <c r="O23" s="4">
        <v>2.8999999999999998E-3</v>
      </c>
      <c r="P23" s="3">
        <v>1.52E-12</v>
      </c>
      <c r="Q23" s="7">
        <v>390203</v>
      </c>
      <c r="R23" s="45">
        <v>0.83879999999999999</v>
      </c>
      <c r="S23" s="45">
        <v>2.12E-2</v>
      </c>
      <c r="T23" s="45">
        <v>3.0999999999999999E-3</v>
      </c>
      <c r="U23" s="18">
        <v>1.23E-11</v>
      </c>
      <c r="V23" s="8"/>
      <c r="W23" s="1">
        <v>314093</v>
      </c>
      <c r="X23" s="4">
        <v>0.83979999999999999</v>
      </c>
      <c r="Y23" s="4">
        <v>1.9099999999999999E-2</v>
      </c>
      <c r="Z23" s="4">
        <v>3.5000000000000001E-3</v>
      </c>
      <c r="AA23" s="5">
        <v>5.9300000000000002E-8</v>
      </c>
      <c r="AB23" s="19">
        <v>258216</v>
      </c>
      <c r="AC23" s="29">
        <v>0.84130000000000005</v>
      </c>
      <c r="AD23" s="29">
        <v>1.9699999999999999E-2</v>
      </c>
      <c r="AE23" s="29">
        <v>3.8999999999999998E-3</v>
      </c>
      <c r="AF23" s="16">
        <v>4.63E-7</v>
      </c>
      <c r="AG23" s="9"/>
      <c r="AH23" s="1">
        <v>119382</v>
      </c>
      <c r="AI23" s="4">
        <v>0.83760000000000001</v>
      </c>
      <c r="AJ23" s="4">
        <v>2.477E-2</v>
      </c>
      <c r="AK23" s="4">
        <v>5.5449999999999996E-3</v>
      </c>
      <c r="AL23" s="5">
        <v>7.9200000000000004E-6</v>
      </c>
      <c r="AM23" s="14">
        <v>0.49730000000000002</v>
      </c>
      <c r="AN23" s="10"/>
      <c r="AO23" s="9"/>
      <c r="AP23" s="1">
        <v>12605</v>
      </c>
      <c r="AQ23" s="4">
        <v>0.80505000000000004</v>
      </c>
      <c r="AR23" s="4">
        <v>1.7000000000000001E-2</v>
      </c>
      <c r="AS23" s="4">
        <v>1.6338800000000001E-2</v>
      </c>
      <c r="AT23" s="1">
        <v>0.298122</v>
      </c>
      <c r="AU23" s="10">
        <v>0.99799199999999999</v>
      </c>
    </row>
    <row r="24" spans="1:47" x14ac:dyDescent="0.25">
      <c r="A24" s="7" t="s">
        <v>900</v>
      </c>
      <c r="B24" s="1301"/>
      <c r="C24" s="2" t="s">
        <v>69</v>
      </c>
      <c r="D24" s="2">
        <v>4</v>
      </c>
      <c r="E24" s="2">
        <v>89668859</v>
      </c>
      <c r="F24" s="60" t="s">
        <v>919</v>
      </c>
      <c r="G24" s="2" t="s">
        <v>70</v>
      </c>
      <c r="H24" s="1233"/>
      <c r="I24" s="2" t="s">
        <v>17</v>
      </c>
      <c r="J24" s="2" t="s">
        <v>23</v>
      </c>
      <c r="K24" s="8"/>
      <c r="L24" s="1">
        <v>476383</v>
      </c>
      <c r="M24" s="4">
        <v>0.81530000000000002</v>
      </c>
      <c r="N24" s="4">
        <v>1.5900000000000001E-2</v>
      </c>
      <c r="O24" s="4">
        <v>2.7000000000000001E-3</v>
      </c>
      <c r="P24" s="3">
        <v>5.0000000000000001E-9</v>
      </c>
      <c r="Q24" s="7">
        <v>420506</v>
      </c>
      <c r="R24" s="45">
        <v>0.82769999999999999</v>
      </c>
      <c r="S24" s="45">
        <v>1.78E-2</v>
      </c>
      <c r="T24" s="45">
        <v>2.8999999999999998E-3</v>
      </c>
      <c r="U24" s="18">
        <v>1.63E-9</v>
      </c>
      <c r="V24" s="8"/>
      <c r="W24" s="1">
        <v>344369</v>
      </c>
      <c r="X24" s="4">
        <v>0.81289999999999996</v>
      </c>
      <c r="Y24" s="4">
        <v>1.4999999999999999E-2</v>
      </c>
      <c r="Z24" s="4">
        <v>3.2000000000000002E-3</v>
      </c>
      <c r="AA24" s="5">
        <v>2.8899999999999999E-6</v>
      </c>
      <c r="AB24" s="19">
        <v>288492</v>
      </c>
      <c r="AC24" s="29">
        <v>0.83089999999999997</v>
      </c>
      <c r="AD24" s="29">
        <v>1.7600000000000001E-2</v>
      </c>
      <c r="AE24" s="29">
        <v>3.5999999999999999E-3</v>
      </c>
      <c r="AF24" s="16">
        <v>1.04E-6</v>
      </c>
      <c r="AG24" s="9"/>
      <c r="AH24" s="1">
        <v>119409</v>
      </c>
      <c r="AI24" s="4">
        <v>0.82430000000000003</v>
      </c>
      <c r="AJ24" s="4">
        <v>1.9470000000000001E-2</v>
      </c>
      <c r="AK24" s="4">
        <v>5.3860000000000002E-3</v>
      </c>
      <c r="AL24" s="5">
        <v>2.9999999999999997E-4</v>
      </c>
      <c r="AM24" s="14">
        <v>2.5020000000000001E-2</v>
      </c>
      <c r="AN24" s="10"/>
      <c r="AO24" s="9"/>
      <c r="AP24" s="1">
        <v>12605</v>
      </c>
      <c r="AQ24" s="4">
        <v>0.79269000000000001</v>
      </c>
      <c r="AR24" s="4">
        <v>5.0000000000000001E-3</v>
      </c>
      <c r="AS24" s="4">
        <v>1.6777199999999999E-2</v>
      </c>
      <c r="AT24" s="1">
        <v>0.76568499999999995</v>
      </c>
      <c r="AU24" s="10">
        <v>0.99926300000000001</v>
      </c>
    </row>
    <row r="25" spans="1:47" x14ac:dyDescent="0.25">
      <c r="A25" s="7" t="s">
        <v>900</v>
      </c>
      <c r="B25" s="904">
        <v>15</v>
      </c>
      <c r="C25" s="2" t="s">
        <v>72</v>
      </c>
      <c r="D25" s="2">
        <v>4</v>
      </c>
      <c r="E25" s="2">
        <v>120528327</v>
      </c>
      <c r="F25" s="60" t="s">
        <v>73</v>
      </c>
      <c r="G25" s="2" t="s">
        <v>74</v>
      </c>
      <c r="H25" s="2" t="s">
        <v>1</v>
      </c>
      <c r="I25" s="2" t="s">
        <v>24</v>
      </c>
      <c r="J25" s="2" t="s">
        <v>16</v>
      </c>
      <c r="K25" s="8"/>
      <c r="L25" s="1">
        <v>461521</v>
      </c>
      <c r="M25" s="4">
        <v>0.18729999999999999</v>
      </c>
      <c r="N25" s="4">
        <v>1.4999999999999999E-2</v>
      </c>
      <c r="O25" s="4">
        <v>2.7000000000000001E-3</v>
      </c>
      <c r="P25" s="3">
        <v>2.6099999999999999E-8</v>
      </c>
      <c r="Q25" s="7">
        <v>405644</v>
      </c>
      <c r="R25" s="45">
        <v>0.18629999999999999</v>
      </c>
      <c r="S25" s="45">
        <v>1.7399999999999999E-2</v>
      </c>
      <c r="T25" s="45">
        <v>2.8999999999999998E-3</v>
      </c>
      <c r="U25" s="18">
        <v>1.4200000000000001E-9</v>
      </c>
      <c r="V25" s="8"/>
      <c r="W25" s="1">
        <v>329480</v>
      </c>
      <c r="X25" s="4">
        <v>0.18859999999999999</v>
      </c>
      <c r="Y25" s="4">
        <v>1.6500000000000001E-2</v>
      </c>
      <c r="Z25" s="4">
        <v>3.2000000000000002E-3</v>
      </c>
      <c r="AA25" s="5">
        <v>2.6300000000000001E-7</v>
      </c>
      <c r="AB25" s="19">
        <v>273603</v>
      </c>
      <c r="AC25" s="29">
        <v>0.18740000000000001</v>
      </c>
      <c r="AD25" s="29">
        <v>2.0299999999999999E-2</v>
      </c>
      <c r="AE25" s="29">
        <v>3.5000000000000001E-3</v>
      </c>
      <c r="AF25" s="16">
        <v>8.0700000000000005E-9</v>
      </c>
      <c r="AG25" s="9"/>
      <c r="AH25" s="1">
        <v>119436</v>
      </c>
      <c r="AI25" s="4">
        <v>0.1804</v>
      </c>
      <c r="AJ25" s="4">
        <v>1.2019999999999999E-2</v>
      </c>
      <c r="AK25" s="4">
        <v>5.3160000000000004E-3</v>
      </c>
      <c r="AL25" s="5">
        <v>2.3800000000000002E-2</v>
      </c>
      <c r="AM25" s="14">
        <v>0.69630000000000003</v>
      </c>
      <c r="AN25" s="10"/>
      <c r="AO25" s="9"/>
      <c r="AP25" s="1">
        <v>12605</v>
      </c>
      <c r="AQ25" s="4">
        <v>0.21446000000000001</v>
      </c>
      <c r="AR25" s="4">
        <v>6.0000000000000001E-3</v>
      </c>
      <c r="AS25" s="4">
        <v>1.5341499999999999E-2</v>
      </c>
      <c r="AT25" s="1">
        <v>0.69572699999999998</v>
      </c>
      <c r="AU25" s="10">
        <v>0.99999700000000002</v>
      </c>
    </row>
    <row r="26" spans="1:47" x14ac:dyDescent="0.25">
      <c r="A26" s="7" t="s">
        <v>900</v>
      </c>
      <c r="B26" s="904">
        <v>16</v>
      </c>
      <c r="C26" s="2" t="s">
        <v>76</v>
      </c>
      <c r="D26" s="2">
        <v>5</v>
      </c>
      <c r="E26" s="2">
        <v>176516631</v>
      </c>
      <c r="F26" s="60" t="s">
        <v>77</v>
      </c>
      <c r="G26" s="2" t="s">
        <v>78</v>
      </c>
      <c r="H26" s="889" t="s">
        <v>79</v>
      </c>
      <c r="I26" s="2" t="s">
        <v>16</v>
      </c>
      <c r="J26" s="2" t="s">
        <v>24</v>
      </c>
      <c r="K26" s="8"/>
      <c r="L26" s="1">
        <v>455246</v>
      </c>
      <c r="M26" s="4">
        <v>0.23599999999999999</v>
      </c>
      <c r="N26" s="4">
        <v>2.2599999999999999E-2</v>
      </c>
      <c r="O26" s="4">
        <v>2.5000000000000001E-3</v>
      </c>
      <c r="P26" s="3">
        <v>1.69E-19</v>
      </c>
      <c r="Q26" s="7">
        <v>420289</v>
      </c>
      <c r="R26" s="45">
        <v>0.2379</v>
      </c>
      <c r="S26" s="45">
        <v>2.1700000000000001E-2</v>
      </c>
      <c r="T26" s="45">
        <v>2.5999999999999999E-3</v>
      </c>
      <c r="U26" s="18">
        <v>8.2000000000000001E-17</v>
      </c>
      <c r="V26" s="8"/>
      <c r="W26" s="1">
        <v>323449</v>
      </c>
      <c r="X26" s="4">
        <v>0.23100000000000001</v>
      </c>
      <c r="Y26" s="4">
        <v>2.1399999999999999E-2</v>
      </c>
      <c r="Z26" s="4">
        <v>3.0000000000000001E-3</v>
      </c>
      <c r="AA26" s="5">
        <v>1.6400000000000001E-12</v>
      </c>
      <c r="AB26" s="19">
        <v>288492</v>
      </c>
      <c r="AC26" s="29">
        <v>0.23319999999999999</v>
      </c>
      <c r="AD26" s="29">
        <v>0.02</v>
      </c>
      <c r="AE26" s="29">
        <v>3.2000000000000002E-3</v>
      </c>
      <c r="AF26" s="16">
        <v>3.3099999999999999E-10</v>
      </c>
      <c r="AG26" s="9"/>
      <c r="AH26" s="1">
        <v>119192</v>
      </c>
      <c r="AI26" s="4">
        <v>0.24840000000000001</v>
      </c>
      <c r="AJ26" s="4">
        <v>2.6030000000000001E-2</v>
      </c>
      <c r="AK26" s="4">
        <v>4.7349999999999996E-3</v>
      </c>
      <c r="AL26" s="5">
        <v>3.8799999999999997E-8</v>
      </c>
      <c r="AM26" s="14">
        <v>0.79849999999999999</v>
      </c>
      <c r="AN26" s="10"/>
      <c r="AO26" s="9"/>
      <c r="AP26" s="1">
        <v>12605</v>
      </c>
      <c r="AQ26" s="4">
        <v>0.23629</v>
      </c>
      <c r="AR26" s="4">
        <v>1.7000000000000001E-2</v>
      </c>
      <c r="AS26" s="4">
        <v>1.4948100000000001E-2</v>
      </c>
      <c r="AT26" s="1">
        <v>0.25542500000000001</v>
      </c>
      <c r="AU26" s="10">
        <v>0.99906600000000001</v>
      </c>
    </row>
    <row r="27" spans="1:47" x14ac:dyDescent="0.25">
      <c r="A27" s="7" t="s">
        <v>900</v>
      </c>
      <c r="B27" s="904">
        <v>17</v>
      </c>
      <c r="C27" s="2" t="s">
        <v>920</v>
      </c>
      <c r="D27" s="2">
        <v>5</v>
      </c>
      <c r="E27" s="2">
        <v>180017643</v>
      </c>
      <c r="F27" s="60" t="s">
        <v>921</v>
      </c>
      <c r="G27" s="2" t="s">
        <v>922</v>
      </c>
      <c r="I27" s="2" t="s">
        <v>23</v>
      </c>
      <c r="J27" s="2" t="s">
        <v>17</v>
      </c>
      <c r="K27" s="8"/>
      <c r="L27" s="1">
        <v>208592</v>
      </c>
      <c r="M27" s="4">
        <v>9.000000000000119E-4</v>
      </c>
      <c r="N27" s="4">
        <v>0.2336</v>
      </c>
      <c r="O27" s="4">
        <v>5.2499999999999998E-2</v>
      </c>
      <c r="P27" s="3">
        <v>8.7700000000000007E-6</v>
      </c>
      <c r="Q27" s="7">
        <v>165636</v>
      </c>
      <c r="R27" s="45">
        <v>1.1000000000000001E-3</v>
      </c>
      <c r="S27" s="45">
        <v>0.2374</v>
      </c>
      <c r="T27" s="45">
        <v>5.45E-2</v>
      </c>
      <c r="U27" s="18">
        <v>1.33E-5</v>
      </c>
      <c r="V27" s="8"/>
      <c r="W27" s="1">
        <v>208592</v>
      </c>
      <c r="X27" s="4">
        <v>9.000000000000119E-4</v>
      </c>
      <c r="Y27" s="4">
        <v>0.2336</v>
      </c>
      <c r="Z27" s="4">
        <v>5.2499999999999998E-2</v>
      </c>
      <c r="AA27" s="5">
        <v>8.7700000000000007E-6</v>
      </c>
      <c r="AB27" s="19">
        <v>165636</v>
      </c>
      <c r="AC27" s="29">
        <v>1.1000000000000001E-3</v>
      </c>
      <c r="AD27" s="29">
        <v>0.2374</v>
      </c>
      <c r="AE27" s="29">
        <v>5.45E-2</v>
      </c>
      <c r="AF27" s="16">
        <v>1.33E-5</v>
      </c>
      <c r="AG27" s="9"/>
      <c r="AH27" s="1"/>
      <c r="AI27" s="4"/>
      <c r="AJ27" s="4"/>
      <c r="AK27" s="4"/>
      <c r="AL27" s="1"/>
      <c r="AM27" s="14"/>
      <c r="AN27" s="10"/>
      <c r="AO27" s="9"/>
      <c r="AP27" s="1"/>
      <c r="AQ27" s="4"/>
      <c r="AR27" s="4"/>
      <c r="AS27" s="4"/>
      <c r="AT27" s="1"/>
      <c r="AU27" s="10"/>
    </row>
    <row r="28" spans="1:47" x14ac:dyDescent="0.25">
      <c r="A28" s="7" t="s">
        <v>900</v>
      </c>
      <c r="B28" s="904">
        <v>18</v>
      </c>
      <c r="C28" s="2" t="s">
        <v>81</v>
      </c>
      <c r="D28" s="2">
        <v>6</v>
      </c>
      <c r="E28" s="2">
        <v>7211818</v>
      </c>
      <c r="F28" s="60" t="s">
        <v>82</v>
      </c>
      <c r="G28" s="2" t="s">
        <v>83</v>
      </c>
      <c r="H28" s="889" t="s">
        <v>84</v>
      </c>
      <c r="I28" s="2" t="s">
        <v>24</v>
      </c>
      <c r="J28" s="2" t="s">
        <v>16</v>
      </c>
      <c r="K28" s="8"/>
      <c r="L28" s="1">
        <v>451044</v>
      </c>
      <c r="M28" s="4">
        <v>0.56489999999999996</v>
      </c>
      <c r="N28" s="4">
        <v>1.7100000000000001E-2</v>
      </c>
      <c r="O28" s="4">
        <v>2.2000000000000001E-3</v>
      </c>
      <c r="P28" s="3">
        <v>3.9000000000000003E-15</v>
      </c>
      <c r="Q28" s="7">
        <v>398674</v>
      </c>
      <c r="R28" s="45">
        <v>0.57430000000000003</v>
      </c>
      <c r="S28" s="45">
        <v>1.66E-2</v>
      </c>
      <c r="T28" s="45">
        <v>2.3E-3</v>
      </c>
      <c r="U28" s="18">
        <v>3.6300000000000002E-13</v>
      </c>
      <c r="V28" s="8"/>
      <c r="W28" s="1">
        <v>319090</v>
      </c>
      <c r="X28" s="4">
        <v>0.56190000000000007</v>
      </c>
      <c r="Y28" s="4">
        <v>1.3899999999999999E-2</v>
      </c>
      <c r="Z28" s="4">
        <v>2.5999999999999999E-3</v>
      </c>
      <c r="AA28" s="5">
        <v>8.2300000000000002E-8</v>
      </c>
      <c r="AB28" s="19">
        <v>266720</v>
      </c>
      <c r="AC28" s="29">
        <v>0.5756</v>
      </c>
      <c r="AD28" s="29">
        <v>1.2699999999999999E-2</v>
      </c>
      <c r="AE28" s="29">
        <v>2.8E-3</v>
      </c>
      <c r="AF28" s="16">
        <v>7.4599999999999997E-6</v>
      </c>
      <c r="AG28" s="9"/>
      <c r="AH28" s="1">
        <v>119349</v>
      </c>
      <c r="AI28" s="4">
        <v>0.57230000000000003</v>
      </c>
      <c r="AJ28" s="4">
        <v>2.4760000000000001E-2</v>
      </c>
      <c r="AK28" s="4">
        <v>4.1349999999999998E-3</v>
      </c>
      <c r="AL28" s="5">
        <v>2.1299999999999999E-9</v>
      </c>
      <c r="AM28" s="14">
        <v>0.40920000000000001</v>
      </c>
      <c r="AN28" s="10"/>
      <c r="AO28" s="9"/>
      <c r="AP28" s="1">
        <v>12605</v>
      </c>
      <c r="AQ28" s="4">
        <v>0.56674000000000002</v>
      </c>
      <c r="AR28" s="4">
        <v>0.02</v>
      </c>
      <c r="AS28" s="4">
        <v>1.3161900000000001E-2</v>
      </c>
      <c r="AT28" s="1">
        <v>0.12862799999999999</v>
      </c>
      <c r="AU28" s="10">
        <v>0.99970300000000001</v>
      </c>
    </row>
    <row r="29" spans="1:47" x14ac:dyDescent="0.25">
      <c r="A29" s="7" t="s">
        <v>900</v>
      </c>
      <c r="B29" s="904">
        <v>19</v>
      </c>
      <c r="C29" s="2" t="s">
        <v>86</v>
      </c>
      <c r="D29" s="2">
        <v>6</v>
      </c>
      <c r="E29" s="2">
        <v>26108117</v>
      </c>
      <c r="F29" s="60" t="s">
        <v>87</v>
      </c>
      <c r="G29" s="2" t="s">
        <v>88</v>
      </c>
      <c r="I29" s="2" t="s">
        <v>23</v>
      </c>
      <c r="J29" s="2" t="s">
        <v>17</v>
      </c>
      <c r="K29" s="8"/>
      <c r="L29" s="1">
        <v>217995</v>
      </c>
      <c r="M29" s="4">
        <v>1.3999999999999568E-3</v>
      </c>
      <c r="N29" s="4">
        <v>0.22900000000000001</v>
      </c>
      <c r="O29" s="4">
        <v>4.1799999999999997E-2</v>
      </c>
      <c r="P29" s="3">
        <v>4.3000000000000001E-8</v>
      </c>
      <c r="Q29" s="7">
        <v>173595</v>
      </c>
      <c r="R29" s="45">
        <v>1.6999999999999999E-3</v>
      </c>
      <c r="S29" s="45">
        <v>0.2288</v>
      </c>
      <c r="T29" s="45">
        <v>4.2700000000000002E-2</v>
      </c>
      <c r="U29" s="18">
        <v>8.3999999999999998E-8</v>
      </c>
      <c r="V29" s="8"/>
      <c r="W29" s="1">
        <v>217995</v>
      </c>
      <c r="X29" s="4">
        <v>1.3999999999999568E-3</v>
      </c>
      <c r="Y29" s="4">
        <v>0.22900000000000001</v>
      </c>
      <c r="Z29" s="4">
        <v>4.1799999999999997E-2</v>
      </c>
      <c r="AA29" s="5">
        <v>4.3000000000000001E-8</v>
      </c>
      <c r="AB29" s="19">
        <v>173595</v>
      </c>
      <c r="AC29" s="29">
        <v>1.6999999999999999E-3</v>
      </c>
      <c r="AD29" s="29">
        <v>0.2288</v>
      </c>
      <c r="AE29" s="29">
        <v>4.2700000000000002E-2</v>
      </c>
      <c r="AF29" s="16">
        <v>8.3999999999999998E-8</v>
      </c>
      <c r="AG29" s="9"/>
      <c r="AH29" s="1"/>
      <c r="AI29" s="4"/>
      <c r="AJ29" s="4"/>
      <c r="AK29" s="4"/>
      <c r="AL29" s="1"/>
      <c r="AM29" s="14"/>
      <c r="AN29" s="10"/>
      <c r="AO29" s="9"/>
      <c r="AP29" s="1"/>
      <c r="AQ29" s="4"/>
      <c r="AR29" s="4"/>
      <c r="AS29" s="4"/>
      <c r="AT29" s="1"/>
      <c r="AU29" s="10"/>
    </row>
    <row r="30" spans="1:47" x14ac:dyDescent="0.25">
      <c r="A30" s="7" t="s">
        <v>900</v>
      </c>
      <c r="B30" s="904">
        <v>20</v>
      </c>
      <c r="C30" s="2" t="s">
        <v>90</v>
      </c>
      <c r="D30" s="2">
        <v>6</v>
      </c>
      <c r="E30" s="2">
        <v>34827085</v>
      </c>
      <c r="F30" s="60" t="s">
        <v>91</v>
      </c>
      <c r="G30" s="2" t="s">
        <v>92</v>
      </c>
      <c r="H30" s="889" t="s">
        <v>93</v>
      </c>
      <c r="I30" s="2" t="s">
        <v>16</v>
      </c>
      <c r="J30" s="2" t="s">
        <v>23</v>
      </c>
      <c r="K30" s="8"/>
      <c r="L30" s="1">
        <v>309684</v>
      </c>
      <c r="M30" s="4">
        <v>0.84709999999999996</v>
      </c>
      <c r="N30" s="4">
        <v>2.07E-2</v>
      </c>
      <c r="O30" s="4">
        <v>3.5999999999999999E-3</v>
      </c>
      <c r="P30" s="3">
        <v>1.2E-8</v>
      </c>
      <c r="Q30" s="7">
        <v>273124</v>
      </c>
      <c r="R30" s="45">
        <v>0.83889999999999998</v>
      </c>
      <c r="S30" s="45">
        <v>2.0400000000000001E-2</v>
      </c>
      <c r="T30" s="45">
        <v>3.8E-3</v>
      </c>
      <c r="U30" s="18">
        <v>6.5400000000000003E-8</v>
      </c>
      <c r="V30" s="8"/>
      <c r="W30" s="1">
        <v>178932</v>
      </c>
      <c r="X30" s="4">
        <v>0.85220000000000007</v>
      </c>
      <c r="Y30" s="4">
        <v>2.35E-2</v>
      </c>
      <c r="Z30" s="4">
        <v>4.8999999999999998E-3</v>
      </c>
      <c r="AA30" s="5">
        <v>1.9E-6</v>
      </c>
      <c r="AB30" s="19">
        <v>142372</v>
      </c>
      <c r="AC30" s="29">
        <v>0.83679999999999999</v>
      </c>
      <c r="AD30" s="29">
        <v>2.35E-2</v>
      </c>
      <c r="AE30" s="29">
        <v>5.3E-3</v>
      </c>
      <c r="AF30" s="16">
        <v>9.4199999999999996E-6</v>
      </c>
      <c r="AG30" s="9"/>
      <c r="AH30" s="1">
        <v>118147</v>
      </c>
      <c r="AI30" s="4">
        <v>0.83889999999999998</v>
      </c>
      <c r="AJ30" s="4">
        <v>1.5259999999999999E-2</v>
      </c>
      <c r="AK30" s="4">
        <v>5.6090000000000003E-3</v>
      </c>
      <c r="AL30" s="5">
        <v>6.5100000000000002E-3</v>
      </c>
      <c r="AM30" s="14">
        <v>4.032E-3</v>
      </c>
      <c r="AN30" s="10"/>
      <c r="AO30" s="9"/>
      <c r="AP30" s="1">
        <v>12605</v>
      </c>
      <c r="AQ30" s="4">
        <v>0.86565999999999999</v>
      </c>
      <c r="AR30" s="4">
        <v>0.04</v>
      </c>
      <c r="AS30" s="4">
        <v>1.91436E-2</v>
      </c>
      <c r="AT30" s="1">
        <v>3.66649E-2</v>
      </c>
      <c r="AU30" s="10">
        <v>0.99997899999999995</v>
      </c>
    </row>
    <row r="31" spans="1:47" ht="14.25" customHeight="1" x14ac:dyDescent="0.25">
      <c r="A31" s="7" t="s">
        <v>900</v>
      </c>
      <c r="B31" s="1301">
        <v>21</v>
      </c>
      <c r="C31" s="14" t="s">
        <v>95</v>
      </c>
      <c r="D31" s="14">
        <v>6</v>
      </c>
      <c r="E31" s="14">
        <v>127476516</v>
      </c>
      <c r="F31" s="199" t="s">
        <v>923</v>
      </c>
      <c r="G31" s="2" t="s">
        <v>96</v>
      </c>
      <c r="H31" s="1233" t="s">
        <v>97</v>
      </c>
      <c r="I31" s="14" t="s">
        <v>16</v>
      </c>
      <c r="J31" s="14" t="s">
        <v>24</v>
      </c>
      <c r="K31" s="8"/>
      <c r="L31" s="177">
        <v>476358</v>
      </c>
      <c r="M31" s="29">
        <v>0.54290000000000005</v>
      </c>
      <c r="N31" s="29">
        <v>3.0499999999999999E-2</v>
      </c>
      <c r="O31" s="29">
        <v>2.0999999999999999E-3</v>
      </c>
      <c r="P31" s="18">
        <v>2.583E-47</v>
      </c>
      <c r="Q31" s="7">
        <v>420481</v>
      </c>
      <c r="R31" s="45">
        <v>0.54090000000000005</v>
      </c>
      <c r="S31" s="45">
        <v>3.3000000000000002E-2</v>
      </c>
      <c r="T31" s="45">
        <v>2.2000000000000001E-3</v>
      </c>
      <c r="U31" s="18">
        <v>1.4E-49</v>
      </c>
      <c r="V31" s="8"/>
      <c r="W31" s="177">
        <v>344369</v>
      </c>
      <c r="X31" s="29">
        <v>0.53949999999999998</v>
      </c>
      <c r="Y31" s="29">
        <v>2.6100000000000002E-2</v>
      </c>
      <c r="Z31" s="29">
        <v>2.5000000000000001E-3</v>
      </c>
      <c r="AA31" s="16">
        <v>1.06E-25</v>
      </c>
      <c r="AB31" s="19">
        <v>288492</v>
      </c>
      <c r="AC31" s="29">
        <v>0.53600000000000003</v>
      </c>
      <c r="AD31" s="29">
        <v>2.9000000000000001E-2</v>
      </c>
      <c r="AE31" s="29">
        <v>2.7000000000000001E-3</v>
      </c>
      <c r="AF31" s="16">
        <v>2.0499999999999999E-26</v>
      </c>
      <c r="AG31" s="8"/>
      <c r="AH31" s="177">
        <v>119384</v>
      </c>
      <c r="AI31" s="29">
        <v>0.54659999999999997</v>
      </c>
      <c r="AJ31" s="29">
        <v>4.181E-2</v>
      </c>
      <c r="AK31" s="29">
        <v>4.1159999999999999E-3</v>
      </c>
      <c r="AL31" s="16">
        <v>3.0900000000000001E-24</v>
      </c>
      <c r="AM31" s="14">
        <v>2.3529999999999999E-2</v>
      </c>
      <c r="AN31" s="10"/>
      <c r="AO31" s="8"/>
      <c r="AP31" s="177">
        <v>12605</v>
      </c>
      <c r="AQ31" s="29">
        <v>0.60168999999999995</v>
      </c>
      <c r="AR31" s="29">
        <v>3.6999999999999998E-2</v>
      </c>
      <c r="AS31" s="29">
        <v>1.3561399999999999E-2</v>
      </c>
      <c r="AT31" s="177">
        <v>6.3654000000000002E-3</v>
      </c>
      <c r="AU31" s="10">
        <v>0.99995800000000001</v>
      </c>
    </row>
    <row r="32" spans="1:47" x14ac:dyDescent="0.25">
      <c r="A32" s="7" t="s">
        <v>900</v>
      </c>
      <c r="B32" s="1301"/>
      <c r="C32" s="2" t="s">
        <v>99</v>
      </c>
      <c r="D32" s="2">
        <v>6</v>
      </c>
      <c r="E32" s="2">
        <v>127767954</v>
      </c>
      <c r="F32" s="1303" t="s">
        <v>924</v>
      </c>
      <c r="G32" s="2" t="s">
        <v>100</v>
      </c>
      <c r="H32" s="1233"/>
      <c r="I32" s="2" t="s">
        <v>16</v>
      </c>
      <c r="J32" s="2" t="s">
        <v>24</v>
      </c>
      <c r="K32" s="8"/>
      <c r="L32" s="1">
        <v>391469</v>
      </c>
      <c r="M32" s="4">
        <v>9.7000000000000003E-3</v>
      </c>
      <c r="N32" s="4">
        <v>0.1033</v>
      </c>
      <c r="O32" s="4">
        <v>1.1599999999999999E-2</v>
      </c>
      <c r="P32" s="3">
        <v>6.7700000000000004E-19</v>
      </c>
      <c r="Q32" s="7">
        <v>362914</v>
      </c>
      <c r="R32" s="45">
        <v>1.03E-2</v>
      </c>
      <c r="S32" s="45">
        <v>0.10340000000000001</v>
      </c>
      <c r="T32" s="45">
        <v>1.17E-2</v>
      </c>
      <c r="U32" s="18">
        <v>1.2200000000000001E-18</v>
      </c>
      <c r="V32" s="8"/>
      <c r="W32" s="1">
        <v>266330</v>
      </c>
      <c r="X32" s="4">
        <v>8.8999999999999999E-3</v>
      </c>
      <c r="Y32" s="4">
        <v>0.1074</v>
      </c>
      <c r="Z32" s="4">
        <v>1.46E-2</v>
      </c>
      <c r="AA32" s="5">
        <v>2.07E-13</v>
      </c>
      <c r="AB32" s="19">
        <v>237775</v>
      </c>
      <c r="AC32" s="29">
        <v>9.7999999999999997E-3</v>
      </c>
      <c r="AD32" s="29">
        <v>0.1077</v>
      </c>
      <c r="AE32" s="29">
        <v>1.4800000000000001E-2</v>
      </c>
      <c r="AF32" s="16">
        <v>2.96E-13</v>
      </c>
      <c r="AG32" s="9"/>
      <c r="AH32" s="1">
        <v>112534</v>
      </c>
      <c r="AI32" s="4">
        <v>1.1350000000000001E-2</v>
      </c>
      <c r="AJ32" s="4">
        <v>0.1031</v>
      </c>
      <c r="AK32" s="4">
        <v>1.9859999999999999E-2</v>
      </c>
      <c r="AL32" s="5">
        <v>2.0800000000000001E-7</v>
      </c>
      <c r="AM32" s="14">
        <v>0.2319</v>
      </c>
      <c r="AN32" s="10"/>
      <c r="AO32" s="9"/>
      <c r="AP32" s="1">
        <v>12605</v>
      </c>
      <c r="AQ32" s="4">
        <v>7.6299999999999996E-3</v>
      </c>
      <c r="AR32" s="4">
        <v>-1.2E-2</v>
      </c>
      <c r="AS32" s="4">
        <v>7.8110700000000005E-2</v>
      </c>
      <c r="AT32" s="1">
        <v>0.87790299999999999</v>
      </c>
      <c r="AU32" s="10">
        <v>0.98762099999999997</v>
      </c>
    </row>
    <row r="33" spans="1:47" x14ac:dyDescent="0.25">
      <c r="A33" s="7" t="s">
        <v>900</v>
      </c>
      <c r="B33" s="1301"/>
      <c r="C33" s="2" t="s">
        <v>925</v>
      </c>
      <c r="D33" s="2">
        <v>6</v>
      </c>
      <c r="E33" s="2">
        <v>127771452</v>
      </c>
      <c r="F33" s="1303"/>
      <c r="G33" s="2" t="s">
        <v>926</v>
      </c>
      <c r="H33" s="1233"/>
      <c r="I33" s="2" t="s">
        <v>24</v>
      </c>
      <c r="J33" s="2" t="s">
        <v>23</v>
      </c>
      <c r="K33" s="8"/>
      <c r="L33" s="1">
        <v>455015</v>
      </c>
      <c r="M33" s="4">
        <v>0.5897</v>
      </c>
      <c r="N33" s="4">
        <v>9.1999999999999998E-3</v>
      </c>
      <c r="O33" s="4">
        <v>2.2000000000000001E-3</v>
      </c>
      <c r="P33" s="3">
        <v>2.3300000000000001E-5</v>
      </c>
      <c r="Q33" s="7">
        <v>420058</v>
      </c>
      <c r="R33" s="45">
        <v>0.60209999999999997</v>
      </c>
      <c r="S33" s="45">
        <v>9.4999999999999998E-3</v>
      </c>
      <c r="T33" s="45">
        <v>2.2000000000000001E-3</v>
      </c>
      <c r="U33" s="18">
        <v>2.0100000000000001E-5</v>
      </c>
      <c r="V33" s="8"/>
      <c r="W33" s="1">
        <v>323449</v>
      </c>
      <c r="X33" s="4">
        <v>0.58179999999999998</v>
      </c>
      <c r="Y33" s="4">
        <v>1.35E-2</v>
      </c>
      <c r="Z33" s="4">
        <v>2.5999999999999999E-3</v>
      </c>
      <c r="AA33" s="5">
        <v>2.2999999999999999E-7</v>
      </c>
      <c r="AB33" s="19">
        <v>288492</v>
      </c>
      <c r="AC33" s="29">
        <v>0.59919999999999995</v>
      </c>
      <c r="AD33" s="29">
        <v>1.43E-2</v>
      </c>
      <c r="AE33" s="29">
        <v>2.7000000000000001E-3</v>
      </c>
      <c r="AF33" s="16">
        <v>1.6899999999999999E-7</v>
      </c>
      <c r="AG33" s="9"/>
      <c r="AH33" s="1">
        <v>118961</v>
      </c>
      <c r="AI33" s="4">
        <v>0.60980000000000001</v>
      </c>
      <c r="AJ33" s="4">
        <v>-2.5769999999999999E-3</v>
      </c>
      <c r="AK33" s="4">
        <v>4.1980000000000003E-3</v>
      </c>
      <c r="AL33" s="5">
        <v>0.53900000000000003</v>
      </c>
      <c r="AM33" s="14">
        <v>0.79859999999999998</v>
      </c>
      <c r="AN33" s="10"/>
      <c r="AO33" s="9"/>
      <c r="AP33" s="1">
        <v>12605</v>
      </c>
      <c r="AQ33" s="4">
        <v>0.59657000000000004</v>
      </c>
      <c r="AR33" s="4">
        <v>1.6E-2</v>
      </c>
      <c r="AS33" s="4">
        <v>1.34298E-2</v>
      </c>
      <c r="AT33" s="1">
        <v>0.23350599999999999</v>
      </c>
      <c r="AU33" s="10">
        <v>0.99998600000000004</v>
      </c>
    </row>
    <row r="34" spans="1:47" x14ac:dyDescent="0.25">
      <c r="A34" s="7" t="s">
        <v>900</v>
      </c>
      <c r="B34" s="904">
        <v>22</v>
      </c>
      <c r="C34" s="2" t="s">
        <v>102</v>
      </c>
      <c r="D34" s="2">
        <v>7</v>
      </c>
      <c r="E34" s="2">
        <v>6449496</v>
      </c>
      <c r="F34" s="60" t="s">
        <v>103</v>
      </c>
      <c r="G34" s="2" t="s">
        <v>104</v>
      </c>
      <c r="I34" s="2" t="s">
        <v>17</v>
      </c>
      <c r="J34" s="2" t="s">
        <v>23</v>
      </c>
      <c r="K34" s="8"/>
      <c r="L34" s="1">
        <v>475748</v>
      </c>
      <c r="M34" s="4">
        <v>0.2205</v>
      </c>
      <c r="N34" s="4">
        <v>1.3599999999999999E-2</v>
      </c>
      <c r="O34" s="4">
        <v>2.5000000000000001E-3</v>
      </c>
      <c r="P34" s="3">
        <v>6.2400000000000003E-8</v>
      </c>
      <c r="Q34" s="7">
        <v>419871</v>
      </c>
      <c r="R34" s="45">
        <v>0.2301</v>
      </c>
      <c r="S34" s="45">
        <v>1.44E-2</v>
      </c>
      <c r="T34" s="45">
        <v>2.5999999999999999E-3</v>
      </c>
      <c r="U34" s="18">
        <v>3.5899999999999997E-8</v>
      </c>
      <c r="V34" s="8"/>
      <c r="W34" s="1">
        <v>344369</v>
      </c>
      <c r="X34" s="4">
        <v>0.2097</v>
      </c>
      <c r="Y34" s="4">
        <v>1.43E-2</v>
      </c>
      <c r="Z34" s="4">
        <v>3.0000000000000001E-3</v>
      </c>
      <c r="AA34" s="5">
        <v>2.0099999999999998E-6</v>
      </c>
      <c r="AB34" s="19">
        <v>288492</v>
      </c>
      <c r="AC34" s="29">
        <v>0.2225</v>
      </c>
      <c r="AD34" s="29">
        <v>1.5699999999999999E-2</v>
      </c>
      <c r="AE34" s="29">
        <v>3.2000000000000002E-3</v>
      </c>
      <c r="AF34" s="16">
        <v>1.0499999999999999E-6</v>
      </c>
      <c r="AG34" s="9"/>
      <c r="AH34" s="1">
        <v>118774</v>
      </c>
      <c r="AI34" s="4">
        <v>0.2432</v>
      </c>
      <c r="AJ34" s="4">
        <v>1.3270000000000001E-2</v>
      </c>
      <c r="AK34" s="4">
        <v>4.7869999999999996E-3</v>
      </c>
      <c r="AL34" s="5">
        <v>5.5599999999999998E-3</v>
      </c>
      <c r="AM34" s="14">
        <v>6.2539999999999998E-2</v>
      </c>
      <c r="AN34" s="10"/>
      <c r="AO34" s="9"/>
      <c r="AP34" s="1">
        <v>12605</v>
      </c>
      <c r="AQ34" s="4">
        <v>0.26845999999999998</v>
      </c>
      <c r="AR34" s="4">
        <v>-2E-3</v>
      </c>
      <c r="AS34" s="4">
        <v>1.5020800000000001E-2</v>
      </c>
      <c r="AT34" s="1">
        <v>0.89407599999999998</v>
      </c>
      <c r="AU34" s="10">
        <v>0.99964900000000001</v>
      </c>
    </row>
    <row r="35" spans="1:47" x14ac:dyDescent="0.25">
      <c r="A35" s="7" t="s">
        <v>900</v>
      </c>
      <c r="B35" s="904">
        <v>23</v>
      </c>
      <c r="C35" s="2" t="s">
        <v>927</v>
      </c>
      <c r="D35" s="2">
        <v>7</v>
      </c>
      <c r="E35" s="2">
        <v>47886522</v>
      </c>
      <c r="F35" s="60" t="s">
        <v>928</v>
      </c>
      <c r="G35" s="2" t="s">
        <v>929</v>
      </c>
      <c r="I35" s="2" t="s">
        <v>17</v>
      </c>
      <c r="J35" s="2" t="s">
        <v>23</v>
      </c>
      <c r="K35" s="8"/>
      <c r="L35" s="1">
        <v>431882</v>
      </c>
      <c r="M35" s="4">
        <v>0.99939999999999996</v>
      </c>
      <c r="N35" s="4">
        <v>0.1714</v>
      </c>
      <c r="O35" s="4">
        <v>5.0799999999999998E-2</v>
      </c>
      <c r="P35" s="3">
        <v>7.4240000000000005E-4</v>
      </c>
      <c r="Q35" s="7">
        <v>377825</v>
      </c>
      <c r="R35" s="45">
        <v>0.99929999999999997</v>
      </c>
      <c r="S35" s="45">
        <v>0.18940000000000001</v>
      </c>
      <c r="T35" s="45">
        <v>5.16E-2</v>
      </c>
      <c r="U35" s="18">
        <v>2.42E-4</v>
      </c>
      <c r="V35" s="8"/>
      <c r="W35" s="1">
        <v>312310</v>
      </c>
      <c r="X35" s="4">
        <v>0.99939999999999996</v>
      </c>
      <c r="Y35" s="4">
        <v>0.17649999999999999</v>
      </c>
      <c r="Z35" s="4">
        <v>5.1200000000000002E-2</v>
      </c>
      <c r="AA35" s="5">
        <v>5.6700000000000001E-4</v>
      </c>
      <c r="AB35" s="19">
        <v>258253</v>
      </c>
      <c r="AC35" s="29">
        <v>0.99929999999999997</v>
      </c>
      <c r="AD35" s="29">
        <v>0.19489999999999999</v>
      </c>
      <c r="AE35" s="29">
        <v>5.1999999999999998E-2</v>
      </c>
      <c r="AF35" s="16">
        <v>1.7799999999999999E-4</v>
      </c>
      <c r="AG35" s="9"/>
      <c r="AH35" s="1">
        <v>119572</v>
      </c>
      <c r="AI35" s="4">
        <v>0.99995999999999996</v>
      </c>
      <c r="AJ35" s="4">
        <v>-0.16602700000000001</v>
      </c>
      <c r="AK35" s="4">
        <v>0.41807699999999998</v>
      </c>
      <c r="AL35" s="5">
        <v>0.69099999999999995</v>
      </c>
      <c r="AM35" s="14"/>
      <c r="AN35" s="10">
        <v>0.58991899999999997</v>
      </c>
      <c r="AO35" s="9"/>
      <c r="AP35" s="1"/>
      <c r="AQ35" s="4"/>
      <c r="AR35" s="4"/>
      <c r="AS35" s="4"/>
      <c r="AT35" s="1"/>
      <c r="AU35" s="10"/>
    </row>
    <row r="36" spans="1:47" x14ac:dyDescent="0.25">
      <c r="A36" s="7" t="s">
        <v>900</v>
      </c>
      <c r="B36" s="1301">
        <v>24</v>
      </c>
      <c r="C36" s="2" t="s">
        <v>106</v>
      </c>
      <c r="D36" s="2">
        <v>7</v>
      </c>
      <c r="E36" s="2">
        <v>73012042</v>
      </c>
      <c r="F36" s="1303" t="s">
        <v>107</v>
      </c>
      <c r="G36" s="2" t="s">
        <v>108</v>
      </c>
      <c r="H36" s="1235" t="s">
        <v>109</v>
      </c>
      <c r="I36" s="2" t="s">
        <v>24</v>
      </c>
      <c r="J36" s="2" t="s">
        <v>16</v>
      </c>
      <c r="K36" s="8"/>
      <c r="L36" s="1">
        <v>451158</v>
      </c>
      <c r="M36" s="4">
        <v>0.87970000000000004</v>
      </c>
      <c r="N36" s="4">
        <v>0.02</v>
      </c>
      <c r="O36" s="4">
        <v>3.3E-3</v>
      </c>
      <c r="P36" s="3">
        <v>1.7800000000000001E-9</v>
      </c>
      <c r="Q36" s="7">
        <v>398788</v>
      </c>
      <c r="R36" s="45">
        <v>0.87590000000000001</v>
      </c>
      <c r="S36" s="45">
        <v>2.07E-2</v>
      </c>
      <c r="T36" s="45">
        <v>3.5000000000000001E-3</v>
      </c>
      <c r="U36" s="18">
        <v>2.3400000000000002E-9</v>
      </c>
      <c r="V36" s="8"/>
      <c r="W36" s="1">
        <v>319090</v>
      </c>
      <c r="X36" s="4">
        <v>0.88349999999999995</v>
      </c>
      <c r="Y36" s="4">
        <v>2.24E-2</v>
      </c>
      <c r="Z36" s="4">
        <v>4.1000000000000003E-3</v>
      </c>
      <c r="AA36" s="5">
        <v>3.2100000000000003E-8</v>
      </c>
      <c r="AB36" s="19">
        <v>266720</v>
      </c>
      <c r="AC36" s="29">
        <v>0.878</v>
      </c>
      <c r="AD36" s="29">
        <v>2.4E-2</v>
      </c>
      <c r="AE36" s="29">
        <v>4.4000000000000003E-3</v>
      </c>
      <c r="AF36" s="16">
        <v>3.6799999999999999E-8</v>
      </c>
      <c r="AG36" s="9"/>
      <c r="AH36" s="1">
        <v>119463</v>
      </c>
      <c r="AI36" s="4">
        <v>0.87129999999999996</v>
      </c>
      <c r="AJ36" s="4">
        <v>1.7899999999999999E-2</v>
      </c>
      <c r="AK36" s="4">
        <v>6.1009999999999997E-3</v>
      </c>
      <c r="AL36" s="5">
        <v>3.3500000000000001E-3</v>
      </c>
      <c r="AM36" s="14">
        <v>0.78710000000000002</v>
      </c>
      <c r="AN36" s="10" t="s">
        <v>1</v>
      </c>
      <c r="AO36" s="9"/>
      <c r="AP36" s="1">
        <v>12605</v>
      </c>
      <c r="AQ36" s="4">
        <v>0.87941999999999998</v>
      </c>
      <c r="AR36" s="46">
        <v>-1E-4</v>
      </c>
      <c r="AS36" s="4">
        <v>1.4999999999999999E-2</v>
      </c>
      <c r="AT36" s="1">
        <v>0.99705600000000005</v>
      </c>
      <c r="AU36" s="10">
        <v>0.99989499999999998</v>
      </c>
    </row>
    <row r="37" spans="1:47" x14ac:dyDescent="0.25">
      <c r="A37" s="7" t="s">
        <v>900</v>
      </c>
      <c r="B37" s="1301"/>
      <c r="C37" s="14" t="s">
        <v>111</v>
      </c>
      <c r="D37" s="14">
        <v>7</v>
      </c>
      <c r="E37" s="14">
        <v>73020337</v>
      </c>
      <c r="F37" s="1303"/>
      <c r="G37" s="2" t="s">
        <v>112</v>
      </c>
      <c r="H37" s="1233"/>
      <c r="I37" s="14" t="s">
        <v>17</v>
      </c>
      <c r="J37" s="14" t="s">
        <v>24</v>
      </c>
      <c r="K37" s="8"/>
      <c r="L37" s="177">
        <v>454738</v>
      </c>
      <c r="M37" s="29">
        <v>0.88119999999999998</v>
      </c>
      <c r="N37" s="29">
        <v>2.1299999999999999E-2</v>
      </c>
      <c r="O37" s="29">
        <v>3.3999999999999998E-3</v>
      </c>
      <c r="P37" s="18">
        <v>1.9799999999999999E-10</v>
      </c>
      <c r="Q37" s="7">
        <v>398861</v>
      </c>
      <c r="R37" s="45">
        <v>0.876</v>
      </c>
      <c r="S37" s="45">
        <v>2.2100000000000002E-2</v>
      </c>
      <c r="T37" s="45">
        <v>3.5000000000000001E-3</v>
      </c>
      <c r="U37" s="18">
        <v>3.1599999999999999E-10</v>
      </c>
      <c r="V37" s="8"/>
      <c r="W37" s="177">
        <v>322589</v>
      </c>
      <c r="X37" s="29">
        <v>0.88590000000000002</v>
      </c>
      <c r="Y37" s="29">
        <v>2.41E-2</v>
      </c>
      <c r="Z37" s="29">
        <v>4.1000000000000003E-3</v>
      </c>
      <c r="AA37" s="16">
        <v>4.8200000000000003E-9</v>
      </c>
      <c r="AB37" s="19">
        <v>266712</v>
      </c>
      <c r="AC37" s="29">
        <v>0.87849999999999995</v>
      </c>
      <c r="AD37" s="29">
        <v>2.5700000000000001E-2</v>
      </c>
      <c r="AE37" s="29">
        <v>4.4000000000000003E-3</v>
      </c>
      <c r="AF37" s="16">
        <v>6.48E-9</v>
      </c>
      <c r="AG37" s="8"/>
      <c r="AH37" s="177">
        <v>119544</v>
      </c>
      <c r="AI37" s="29">
        <v>0.87070000000000003</v>
      </c>
      <c r="AJ37" s="29">
        <v>1.7569999999999999E-2</v>
      </c>
      <c r="AK37" s="29">
        <v>6.0899999999999999E-3</v>
      </c>
      <c r="AL37" s="16">
        <v>3.8999999999999998E-3</v>
      </c>
      <c r="AM37" s="14">
        <v>0.74880000000000002</v>
      </c>
      <c r="AN37" s="10" t="s">
        <v>1</v>
      </c>
      <c r="AO37" s="8"/>
      <c r="AP37" s="177">
        <v>12605</v>
      </c>
      <c r="AQ37" s="29">
        <v>0.88136999999999999</v>
      </c>
      <c r="AR37" s="29">
        <v>-4.0000000000000001E-3</v>
      </c>
      <c r="AS37" s="29">
        <v>2.01169E-2</v>
      </c>
      <c r="AT37" s="177">
        <v>0.84238999999999997</v>
      </c>
      <c r="AU37" s="10">
        <v>0.99983999999999995</v>
      </c>
    </row>
    <row r="38" spans="1:47" x14ac:dyDescent="0.25">
      <c r="A38" s="7" t="s">
        <v>900</v>
      </c>
      <c r="B38" s="904">
        <v>25</v>
      </c>
      <c r="C38" s="2" t="s">
        <v>930</v>
      </c>
      <c r="D38" s="2">
        <v>10</v>
      </c>
      <c r="E38" s="2">
        <v>64927823</v>
      </c>
      <c r="F38" s="60" t="s">
        <v>931</v>
      </c>
      <c r="G38" s="2" t="s">
        <v>932</v>
      </c>
      <c r="I38" s="2" t="s">
        <v>17</v>
      </c>
      <c r="J38" s="2" t="s">
        <v>24</v>
      </c>
      <c r="K38" s="8"/>
      <c r="L38" s="1">
        <v>467829</v>
      </c>
      <c r="M38" s="4">
        <v>0.52200000000000002</v>
      </c>
      <c r="N38" s="4">
        <v>9.4999999999999998E-3</v>
      </c>
      <c r="O38" s="4">
        <v>2.2000000000000001E-3</v>
      </c>
      <c r="P38" s="3">
        <v>1.1399999999999999E-5</v>
      </c>
      <c r="Q38" s="7">
        <v>411952</v>
      </c>
      <c r="R38" s="45">
        <v>0.51680000000000004</v>
      </c>
      <c r="S38" s="45">
        <v>1.0999999999999999E-2</v>
      </c>
      <c r="T38" s="45">
        <v>2.3E-3</v>
      </c>
      <c r="U38" s="18">
        <v>1.42E-6</v>
      </c>
      <c r="V38" s="8"/>
      <c r="W38" s="1">
        <v>335876</v>
      </c>
      <c r="X38" s="4">
        <v>0.5212</v>
      </c>
      <c r="Y38" s="4">
        <v>1.12E-2</v>
      </c>
      <c r="Z38" s="4">
        <v>2.5999999999999999E-3</v>
      </c>
      <c r="AA38" s="5">
        <v>1.2E-5</v>
      </c>
      <c r="AB38" s="19">
        <v>279999</v>
      </c>
      <c r="AC38" s="29">
        <v>0.51319999999999999</v>
      </c>
      <c r="AD38" s="29">
        <v>1.37E-2</v>
      </c>
      <c r="AE38" s="29">
        <v>2.8E-3</v>
      </c>
      <c r="AF38" s="16">
        <v>1.1000000000000001E-6</v>
      </c>
      <c r="AG38" s="9"/>
      <c r="AH38" s="1">
        <v>119348</v>
      </c>
      <c r="AI38" s="4">
        <v>0.52839999999999998</v>
      </c>
      <c r="AJ38" s="4">
        <v>7.5139999999999998E-3</v>
      </c>
      <c r="AK38" s="4">
        <v>4.1079999999999997E-3</v>
      </c>
      <c r="AL38" s="5">
        <v>6.7400000000000002E-2</v>
      </c>
      <c r="AM38" s="14">
        <v>1.477E-2</v>
      </c>
      <c r="AN38" s="10" t="s">
        <v>1</v>
      </c>
      <c r="AO38" s="9"/>
      <c r="AP38" s="1">
        <v>12605</v>
      </c>
      <c r="AQ38" s="4">
        <v>0.47622999999999999</v>
      </c>
      <c r="AR38" s="4">
        <v>-1.4E-2</v>
      </c>
      <c r="AS38" s="4">
        <v>1.34197E-2</v>
      </c>
      <c r="AT38" s="1">
        <v>0.29683500000000002</v>
      </c>
      <c r="AU38" s="10">
        <v>0.99998699999999996</v>
      </c>
    </row>
    <row r="39" spans="1:47" x14ac:dyDescent="0.25">
      <c r="A39" s="7" t="s">
        <v>900</v>
      </c>
      <c r="B39" s="904">
        <v>26</v>
      </c>
      <c r="C39" s="2" t="s">
        <v>114</v>
      </c>
      <c r="D39" s="2">
        <v>10</v>
      </c>
      <c r="E39" s="2">
        <v>95931087</v>
      </c>
      <c r="F39" s="60" t="s">
        <v>115</v>
      </c>
      <c r="G39" s="2" t="s">
        <v>116</v>
      </c>
      <c r="H39" s="891" t="s">
        <v>117</v>
      </c>
      <c r="I39" s="2" t="s">
        <v>23</v>
      </c>
      <c r="J39" s="2" t="s">
        <v>24</v>
      </c>
      <c r="K39" s="8"/>
      <c r="L39" s="1">
        <v>476475</v>
      </c>
      <c r="M39" s="4">
        <v>0.17299999999999999</v>
      </c>
      <c r="N39" s="4">
        <v>1.8200000000000001E-2</v>
      </c>
      <c r="O39" s="4">
        <v>2.7000000000000001E-3</v>
      </c>
      <c r="P39" s="3">
        <v>2.5000000000000001E-11</v>
      </c>
      <c r="Q39" s="7">
        <v>420598</v>
      </c>
      <c r="R39" s="45">
        <v>0.1648</v>
      </c>
      <c r="S39" s="45">
        <v>1.9599999999999999E-2</v>
      </c>
      <c r="T39" s="45">
        <v>3.0000000000000001E-3</v>
      </c>
      <c r="U39" s="18">
        <v>3.9599999999999998E-11</v>
      </c>
      <c r="V39" s="8"/>
      <c r="W39" s="1">
        <v>344369</v>
      </c>
      <c r="X39" s="4">
        <v>0.17460000000000001</v>
      </c>
      <c r="Y39" s="4">
        <v>1.8499999999999999E-2</v>
      </c>
      <c r="Z39" s="4">
        <v>3.2000000000000002E-3</v>
      </c>
      <c r="AA39" s="5">
        <v>1.07E-8</v>
      </c>
      <c r="AB39" s="19">
        <v>288492</v>
      </c>
      <c r="AC39" s="29">
        <v>0.16289999999999999</v>
      </c>
      <c r="AD39" s="29">
        <v>2.06E-2</v>
      </c>
      <c r="AE39" s="29">
        <v>3.5999999999999999E-3</v>
      </c>
      <c r="AF39" s="16">
        <v>1.3599999999999999E-8</v>
      </c>
      <c r="AG39" s="9"/>
      <c r="AH39" s="1">
        <v>119501</v>
      </c>
      <c r="AI39" s="4">
        <v>0.17069999999999999</v>
      </c>
      <c r="AJ39" s="4">
        <v>1.9529999999999999E-2</v>
      </c>
      <c r="AK39" s="4">
        <v>5.4380000000000001E-3</v>
      </c>
      <c r="AL39" s="5">
        <v>3.2899999999999997E-4</v>
      </c>
      <c r="AM39" s="14">
        <v>0.14230000000000001</v>
      </c>
      <c r="AN39" s="10" t="s">
        <v>1</v>
      </c>
      <c r="AO39" s="9"/>
      <c r="AP39" s="1">
        <v>12605</v>
      </c>
      <c r="AQ39" s="4">
        <v>0.14510999999999999</v>
      </c>
      <c r="AR39" s="4">
        <v>-7.0000000000000001E-3</v>
      </c>
      <c r="AS39" s="4">
        <v>1.8475200000000001E-2</v>
      </c>
      <c r="AT39" s="1">
        <v>0.70477299999999998</v>
      </c>
      <c r="AU39" s="10">
        <v>0.99970300000000001</v>
      </c>
    </row>
    <row r="40" spans="1:47" ht="30" x14ac:dyDescent="0.25">
      <c r="A40" s="7" t="s">
        <v>900</v>
      </c>
      <c r="B40" s="904">
        <v>27</v>
      </c>
      <c r="C40" s="2" t="s">
        <v>933</v>
      </c>
      <c r="D40" s="2">
        <v>10</v>
      </c>
      <c r="E40" s="2">
        <v>104572963</v>
      </c>
      <c r="F40" s="60" t="s">
        <v>934</v>
      </c>
      <c r="G40" s="2" t="s">
        <v>935</v>
      </c>
      <c r="H40" s="920" t="s">
        <v>5275</v>
      </c>
      <c r="I40" s="2" t="s">
        <v>23</v>
      </c>
      <c r="J40" s="2" t="s">
        <v>17</v>
      </c>
      <c r="K40" s="8"/>
      <c r="L40" s="1">
        <v>473701</v>
      </c>
      <c r="M40" s="4">
        <v>0.40839999999999999</v>
      </c>
      <c r="N40" s="4">
        <v>3.8999999999999998E-3</v>
      </c>
      <c r="O40" s="4">
        <v>2.2000000000000001E-3</v>
      </c>
      <c r="P40" s="3">
        <v>7.5130000000000002E-2</v>
      </c>
      <c r="Q40" s="7">
        <v>417824</v>
      </c>
      <c r="R40" s="45">
        <v>0.40610000000000002</v>
      </c>
      <c r="S40" s="45">
        <v>4.3E-3</v>
      </c>
      <c r="T40" s="45">
        <v>2.3E-3</v>
      </c>
      <c r="U40" s="18">
        <v>6.3E-2</v>
      </c>
      <c r="V40" s="8"/>
      <c r="W40" s="1">
        <v>341997</v>
      </c>
      <c r="X40" s="4">
        <v>0.41090000000000004</v>
      </c>
      <c r="Y40" s="4">
        <v>7.7999999999999996E-3</v>
      </c>
      <c r="Z40" s="4">
        <v>2.5999999999999999E-3</v>
      </c>
      <c r="AA40" s="5">
        <v>2.2799999999999999E-3</v>
      </c>
      <c r="AB40" s="19">
        <v>286120</v>
      </c>
      <c r="AC40" s="29">
        <v>0.40799999999999997</v>
      </c>
      <c r="AD40" s="29">
        <v>8.9999999999999993E-3</v>
      </c>
      <c r="AE40" s="29">
        <v>2.8E-3</v>
      </c>
      <c r="AF40" s="16">
        <v>1.3600000000000001E-3</v>
      </c>
      <c r="AG40" s="9"/>
      <c r="AH40" s="1">
        <v>119099</v>
      </c>
      <c r="AI40" s="4">
        <v>0.40029999999999999</v>
      </c>
      <c r="AJ40" s="4">
        <v>-7.0569999999999999E-3</v>
      </c>
      <c r="AK40" s="4">
        <v>4.1869999999999997E-3</v>
      </c>
      <c r="AL40" s="5">
        <v>9.1899999999999996E-2</v>
      </c>
      <c r="AM40" s="14">
        <v>5.3420000000000002E-2</v>
      </c>
      <c r="AN40" s="10" t="s">
        <v>1</v>
      </c>
      <c r="AO40" s="9"/>
      <c r="AP40" s="1">
        <v>12605</v>
      </c>
      <c r="AQ40" s="4">
        <v>0.42199999999999999</v>
      </c>
      <c r="AR40" s="4">
        <v>1.0999999999999999E-2</v>
      </c>
      <c r="AS40" s="4">
        <v>1.2893399999999999E-2</v>
      </c>
      <c r="AT40" s="1">
        <v>0.39357799999999998</v>
      </c>
      <c r="AU40" s="10">
        <v>0.99991399999999997</v>
      </c>
    </row>
    <row r="41" spans="1:47" x14ac:dyDescent="0.25">
      <c r="A41" s="7" t="s">
        <v>900</v>
      </c>
      <c r="B41" s="904">
        <v>28</v>
      </c>
      <c r="C41" s="2" t="s">
        <v>119</v>
      </c>
      <c r="D41" s="2">
        <v>10</v>
      </c>
      <c r="E41" s="2">
        <v>123279643</v>
      </c>
      <c r="F41" s="60" t="s">
        <v>120</v>
      </c>
      <c r="G41" s="2" t="s">
        <v>96</v>
      </c>
      <c r="I41" s="2" t="s">
        <v>23</v>
      </c>
      <c r="J41" s="2" t="s">
        <v>17</v>
      </c>
      <c r="K41" s="8"/>
      <c r="L41" s="1">
        <v>236962</v>
      </c>
      <c r="M41" s="4">
        <v>9.000000000000119E-4</v>
      </c>
      <c r="N41" s="4">
        <v>0.25829999999999997</v>
      </c>
      <c r="O41" s="4">
        <v>4.9000000000000002E-2</v>
      </c>
      <c r="P41" s="3">
        <v>1.3799999999999999E-7</v>
      </c>
      <c r="Q41" s="7">
        <v>189497</v>
      </c>
      <c r="R41" s="45">
        <v>1.1000000000000001E-3</v>
      </c>
      <c r="S41" s="45">
        <v>0.26850000000000002</v>
      </c>
      <c r="T41" s="45">
        <v>5.0799999999999998E-2</v>
      </c>
      <c r="U41" s="18">
        <v>1.2499999999999999E-7</v>
      </c>
      <c r="V41" s="8"/>
      <c r="W41" s="1">
        <v>236962</v>
      </c>
      <c r="X41" s="4">
        <v>9.000000000000119E-4</v>
      </c>
      <c r="Y41" s="4">
        <v>0.25829999999999997</v>
      </c>
      <c r="Z41" s="4">
        <v>4.9000000000000002E-2</v>
      </c>
      <c r="AA41" s="5">
        <v>1.3799999999999999E-7</v>
      </c>
      <c r="AB41" s="19">
        <v>189497</v>
      </c>
      <c r="AC41" s="29">
        <v>1.1000000000000001E-3</v>
      </c>
      <c r="AD41" s="29">
        <v>0.26850000000000002</v>
      </c>
      <c r="AE41" s="29">
        <v>5.0799999999999998E-2</v>
      </c>
      <c r="AF41" s="16">
        <v>1.2499999999999999E-7</v>
      </c>
      <c r="AG41" s="9"/>
      <c r="AH41" s="1"/>
      <c r="AI41" s="4"/>
      <c r="AJ41" s="4"/>
      <c r="AK41" s="4" t="s">
        <v>1</v>
      </c>
      <c r="AL41" s="1"/>
      <c r="AM41" s="14"/>
      <c r="AN41" s="10"/>
      <c r="AO41" s="9"/>
      <c r="AP41" s="1"/>
      <c r="AQ41" s="4"/>
      <c r="AR41" s="4"/>
      <c r="AS41" s="4"/>
      <c r="AT41" s="1"/>
      <c r="AU41" s="10"/>
    </row>
    <row r="42" spans="1:47" x14ac:dyDescent="0.25">
      <c r="A42" s="7" t="s">
        <v>900</v>
      </c>
      <c r="B42" s="904">
        <v>29</v>
      </c>
      <c r="C42" s="2" t="s">
        <v>122</v>
      </c>
      <c r="D42" s="2">
        <v>11</v>
      </c>
      <c r="E42" s="2">
        <v>64031241</v>
      </c>
      <c r="F42" s="60" t="s">
        <v>123</v>
      </c>
      <c r="G42" s="2" t="s">
        <v>124</v>
      </c>
      <c r="H42" s="889" t="s">
        <v>125</v>
      </c>
      <c r="I42" s="2" t="s">
        <v>23</v>
      </c>
      <c r="J42" s="2" t="s">
        <v>17</v>
      </c>
      <c r="K42" s="8"/>
      <c r="L42" s="1">
        <v>476457</v>
      </c>
      <c r="M42" s="4">
        <v>6.08E-2</v>
      </c>
      <c r="N42" s="4">
        <v>3.39E-2</v>
      </c>
      <c r="O42" s="4">
        <v>4.4000000000000003E-3</v>
      </c>
      <c r="P42" s="3">
        <v>9.1399999999999994E-15</v>
      </c>
      <c r="Q42" s="7">
        <v>420580</v>
      </c>
      <c r="R42" s="45">
        <v>6.6000000000000003E-2</v>
      </c>
      <c r="S42" s="45">
        <v>3.27E-2</v>
      </c>
      <c r="T42" s="45">
        <v>4.4999999999999997E-3</v>
      </c>
      <c r="U42" s="18">
        <v>3.2800000000000002E-13</v>
      </c>
      <c r="V42" s="8"/>
      <c r="W42" s="1">
        <v>344369</v>
      </c>
      <c r="X42" s="4">
        <v>6.0199999999999997E-2</v>
      </c>
      <c r="Y42" s="4">
        <v>2.7900000000000001E-2</v>
      </c>
      <c r="Z42" s="4">
        <v>5.1999999999999998E-3</v>
      </c>
      <c r="AA42" s="5">
        <v>6.9699999999999995E-8</v>
      </c>
      <c r="AB42" s="19">
        <v>288492</v>
      </c>
      <c r="AC42" s="29">
        <v>6.7599999999999993E-2</v>
      </c>
      <c r="AD42" s="29">
        <v>2.5700000000000001E-2</v>
      </c>
      <c r="AE42" s="29">
        <v>5.4000000000000003E-3</v>
      </c>
      <c r="AF42" s="16">
        <v>1.5600000000000001E-6</v>
      </c>
      <c r="AG42" s="9"/>
      <c r="AH42" s="1">
        <v>119483</v>
      </c>
      <c r="AI42" s="4">
        <v>6.3530000000000003E-2</v>
      </c>
      <c r="AJ42" s="4">
        <v>4.8349999999999997E-2</v>
      </c>
      <c r="AK42" s="4">
        <v>8.3800000000000003E-3</v>
      </c>
      <c r="AL42" s="5">
        <v>7.9599999999999998E-9</v>
      </c>
      <c r="AM42" s="14">
        <v>0.75270000000000004</v>
      </c>
      <c r="AN42" s="10" t="s">
        <v>1</v>
      </c>
      <c r="AO42" s="9"/>
      <c r="AP42" s="1">
        <v>12605</v>
      </c>
      <c r="AQ42" s="4">
        <v>4.6920000000000003E-2</v>
      </c>
      <c r="AR42" s="4">
        <v>4.8000000000000001E-2</v>
      </c>
      <c r="AS42" s="4">
        <v>3.0251299999999998E-2</v>
      </c>
      <c r="AT42" s="1">
        <v>0.112579</v>
      </c>
      <c r="AU42" s="10">
        <v>0.99864600000000003</v>
      </c>
    </row>
    <row r="43" spans="1:47" x14ac:dyDescent="0.25">
      <c r="A43" s="7" t="s">
        <v>900</v>
      </c>
      <c r="B43" s="904">
        <v>30</v>
      </c>
      <c r="C43" s="2" t="s">
        <v>127</v>
      </c>
      <c r="D43" s="2">
        <v>11</v>
      </c>
      <c r="E43" s="2">
        <v>65403651</v>
      </c>
      <c r="F43" s="60" t="s">
        <v>128</v>
      </c>
      <c r="G43" s="2" t="s">
        <v>129</v>
      </c>
      <c r="I43" s="2" t="s">
        <v>17</v>
      </c>
      <c r="J43" s="2" t="s">
        <v>16</v>
      </c>
      <c r="K43" s="8"/>
      <c r="L43" s="1">
        <v>448861</v>
      </c>
      <c r="M43" s="4">
        <v>0.95430000000000004</v>
      </c>
      <c r="N43" s="4">
        <v>2.92E-2</v>
      </c>
      <c r="O43" s="4">
        <v>5.1999999999999998E-3</v>
      </c>
      <c r="P43" s="3">
        <v>1.7500000000000001E-8</v>
      </c>
      <c r="Q43" s="7">
        <v>392984</v>
      </c>
      <c r="R43" s="45">
        <v>0.94950000000000001</v>
      </c>
      <c r="S43" s="45">
        <v>2.9100000000000001E-2</v>
      </c>
      <c r="T43" s="45">
        <v>5.1999999999999998E-3</v>
      </c>
      <c r="U43" s="18">
        <v>2.6799999999999998E-8</v>
      </c>
      <c r="V43" s="8"/>
      <c r="W43" s="1">
        <v>324439</v>
      </c>
      <c r="X43" s="4">
        <v>0.95909999999999995</v>
      </c>
      <c r="Y43" s="4">
        <v>3.0499999999999999E-2</v>
      </c>
      <c r="Z43" s="4">
        <v>6.4000000000000003E-3</v>
      </c>
      <c r="AA43" s="5">
        <v>1.64E-6</v>
      </c>
      <c r="AB43" s="19">
        <v>268562</v>
      </c>
      <c r="AC43" s="29">
        <v>0.95199999999999996</v>
      </c>
      <c r="AD43" s="29">
        <v>3.04E-2</v>
      </c>
      <c r="AE43" s="29">
        <v>6.4999999999999997E-3</v>
      </c>
      <c r="AF43" s="16">
        <v>2.6299999999999998E-6</v>
      </c>
      <c r="AG43" s="9"/>
      <c r="AH43" s="1">
        <v>111817</v>
      </c>
      <c r="AI43" s="4">
        <v>0.94472999999999996</v>
      </c>
      <c r="AJ43" s="4">
        <v>2.92E-2</v>
      </c>
      <c r="AK43" s="4">
        <v>9.2270000000000008E-3</v>
      </c>
      <c r="AL43" s="5">
        <v>1.5499999999999999E-3</v>
      </c>
      <c r="AM43" s="14">
        <v>0.97719999999999996</v>
      </c>
      <c r="AN43" s="10" t="s">
        <v>1</v>
      </c>
      <c r="AO43" s="9"/>
      <c r="AP43" s="1">
        <v>12605</v>
      </c>
      <c r="AQ43" s="4">
        <v>0.94811000000000001</v>
      </c>
      <c r="AR43" s="4">
        <v>-1E-3</v>
      </c>
      <c r="AS43" s="4">
        <v>3.1267099999999999E-2</v>
      </c>
      <c r="AT43" s="1">
        <v>0.97448599999999996</v>
      </c>
      <c r="AU43" s="10">
        <v>0.99568999999999996</v>
      </c>
    </row>
    <row r="44" spans="1:47" x14ac:dyDescent="0.25">
      <c r="A44" s="7" t="s">
        <v>900</v>
      </c>
      <c r="B44" s="904">
        <v>31</v>
      </c>
      <c r="C44" s="2" t="s">
        <v>131</v>
      </c>
      <c r="D44" s="2">
        <v>12</v>
      </c>
      <c r="E44" s="2">
        <v>48143315</v>
      </c>
      <c r="F44" s="60" t="s">
        <v>132</v>
      </c>
      <c r="G44" s="2" t="s">
        <v>133</v>
      </c>
      <c r="I44" s="2" t="s">
        <v>16</v>
      </c>
      <c r="J44" s="2" t="s">
        <v>24</v>
      </c>
      <c r="K44" s="8"/>
      <c r="L44" s="1">
        <v>470513</v>
      </c>
      <c r="M44" s="4">
        <v>0.98950000000000005</v>
      </c>
      <c r="N44" s="4">
        <v>8.4599999999999995E-2</v>
      </c>
      <c r="O44" s="4">
        <v>1.01E-2</v>
      </c>
      <c r="P44" s="3">
        <v>7.1500000000000003E-17</v>
      </c>
      <c r="Q44" s="7">
        <v>416413</v>
      </c>
      <c r="R44" s="45">
        <v>0.98850000000000005</v>
      </c>
      <c r="S44" s="45">
        <v>8.3599999999999994E-2</v>
      </c>
      <c r="T44" s="45">
        <v>1.03E-2</v>
      </c>
      <c r="U44" s="18">
        <v>5.2599999999999997E-16</v>
      </c>
      <c r="V44" s="8"/>
      <c r="W44" s="1">
        <v>342592</v>
      </c>
      <c r="X44" s="4">
        <v>0.9899</v>
      </c>
      <c r="Y44" s="4">
        <v>8.9800000000000005E-2</v>
      </c>
      <c r="Z44" s="4">
        <v>1.21E-2</v>
      </c>
      <c r="AA44" s="5">
        <v>1.2800000000000001E-13</v>
      </c>
      <c r="AB44" s="19">
        <v>288492</v>
      </c>
      <c r="AC44" s="29">
        <v>0.98850000000000005</v>
      </c>
      <c r="AD44" s="29">
        <v>8.8599999999999998E-2</v>
      </c>
      <c r="AE44" s="29">
        <v>1.24E-2</v>
      </c>
      <c r="AF44" s="16">
        <v>7.4800000000000004E-13</v>
      </c>
      <c r="AG44" s="9"/>
      <c r="AH44" s="1">
        <v>115316</v>
      </c>
      <c r="AI44" s="4">
        <v>0.98878999999999995</v>
      </c>
      <c r="AJ44" s="4">
        <v>6.9430000000000006E-2</v>
      </c>
      <c r="AK44" s="4">
        <v>1.9709999999999998E-2</v>
      </c>
      <c r="AL44" s="5">
        <v>4.2700000000000002E-4</v>
      </c>
      <c r="AM44" s="14">
        <v>0.35199999999999998</v>
      </c>
      <c r="AN44" s="10" t="s">
        <v>1</v>
      </c>
      <c r="AO44" s="9"/>
      <c r="AP44" s="1">
        <v>12605</v>
      </c>
      <c r="AQ44" s="4">
        <v>0.98573999999999995</v>
      </c>
      <c r="AR44" s="4">
        <v>9.5000000000000001E-2</v>
      </c>
      <c r="AS44" s="4">
        <v>5.5236E-2</v>
      </c>
      <c r="AT44" s="1">
        <v>8.5452100000000003E-2</v>
      </c>
      <c r="AU44" s="10">
        <v>0.98935700000000004</v>
      </c>
    </row>
    <row r="45" spans="1:47" x14ac:dyDescent="0.25">
      <c r="A45" s="7" t="s">
        <v>900</v>
      </c>
      <c r="B45" s="904">
        <v>32</v>
      </c>
      <c r="C45" s="2" t="s">
        <v>135</v>
      </c>
      <c r="D45" s="2">
        <v>12</v>
      </c>
      <c r="E45" s="2">
        <v>108618630</v>
      </c>
      <c r="F45" s="60" t="s">
        <v>136</v>
      </c>
      <c r="G45" s="2" t="s">
        <v>137</v>
      </c>
      <c r="I45" s="2" t="s">
        <v>17</v>
      </c>
      <c r="J45" s="2" t="s">
        <v>23</v>
      </c>
      <c r="K45" s="8"/>
      <c r="L45" s="1">
        <v>474637</v>
      </c>
      <c r="M45" s="4">
        <v>0.73680000000000001</v>
      </c>
      <c r="N45" s="4">
        <v>1.44E-2</v>
      </c>
      <c r="O45" s="4">
        <v>2.3999999999999998E-3</v>
      </c>
      <c r="P45" s="3">
        <v>9.8399999999999991E-10</v>
      </c>
      <c r="Q45" s="7">
        <v>420537</v>
      </c>
      <c r="R45" s="45">
        <v>0.73629999999999995</v>
      </c>
      <c r="S45" s="45">
        <v>1.43E-2</v>
      </c>
      <c r="T45" s="45">
        <v>2.5000000000000001E-3</v>
      </c>
      <c r="U45" s="18">
        <v>8.8200000000000006E-9</v>
      </c>
      <c r="V45" s="8"/>
      <c r="W45" s="1">
        <v>342592</v>
      </c>
      <c r="X45" s="4">
        <v>0.73499999999999999</v>
      </c>
      <c r="Y45" s="4">
        <v>1.4200000000000001E-2</v>
      </c>
      <c r="Z45" s="4">
        <v>2.8E-3</v>
      </c>
      <c r="AA45" s="5">
        <v>4.7300000000000001E-7</v>
      </c>
      <c r="AB45" s="19">
        <v>288492</v>
      </c>
      <c r="AC45" s="29">
        <v>0.73399999999999999</v>
      </c>
      <c r="AD45" s="29">
        <v>1.3899999999999999E-2</v>
      </c>
      <c r="AE45" s="29">
        <v>3.0000000000000001E-3</v>
      </c>
      <c r="AF45" s="16">
        <v>4.9699999999999998E-6</v>
      </c>
      <c r="AG45" s="9"/>
      <c r="AH45" s="1">
        <v>119440</v>
      </c>
      <c r="AI45" s="4">
        <v>0.73909999999999998</v>
      </c>
      <c r="AJ45" s="4">
        <v>1.6500000000000001E-2</v>
      </c>
      <c r="AK45" s="4">
        <v>4.6600000000000001E-3</v>
      </c>
      <c r="AL45" s="5">
        <v>3.9800000000000002E-4</v>
      </c>
      <c r="AM45" s="14">
        <v>0.1128</v>
      </c>
      <c r="AN45" s="10"/>
      <c r="AO45" s="9"/>
      <c r="AP45" s="1">
        <v>12605</v>
      </c>
      <c r="AQ45" s="4">
        <v>0.75944</v>
      </c>
      <c r="AR45" s="4">
        <v>3.0000000000000001E-3</v>
      </c>
      <c r="AS45" s="4">
        <v>1.3214999999999999E-2</v>
      </c>
      <c r="AT45" s="1">
        <v>0.82041200000000003</v>
      </c>
      <c r="AU45" s="10">
        <v>0.99739900000000004</v>
      </c>
    </row>
    <row r="46" spans="1:47" x14ac:dyDescent="0.25">
      <c r="A46" s="7" t="s">
        <v>905</v>
      </c>
      <c r="B46" s="1301">
        <v>33</v>
      </c>
      <c r="C46" s="2" t="s">
        <v>936</v>
      </c>
      <c r="D46" s="2">
        <v>12</v>
      </c>
      <c r="E46" s="2">
        <v>123200768</v>
      </c>
      <c r="F46" s="60" t="s">
        <v>937</v>
      </c>
      <c r="G46" s="2" t="s">
        <v>938</v>
      </c>
      <c r="H46" s="1233" t="s">
        <v>141</v>
      </c>
      <c r="I46" s="2" t="s">
        <v>23</v>
      </c>
      <c r="J46" s="2" t="s">
        <v>24</v>
      </c>
      <c r="K46" s="8"/>
      <c r="L46" s="1">
        <v>455491</v>
      </c>
      <c r="M46" s="4">
        <v>0.43980000000000002</v>
      </c>
      <c r="N46" s="4">
        <v>1.37E-2</v>
      </c>
      <c r="O46" s="4">
        <v>3.3E-3</v>
      </c>
      <c r="P46" s="3">
        <v>2.48E-5</v>
      </c>
      <c r="Q46" s="7">
        <v>420534</v>
      </c>
      <c r="R46" s="45">
        <v>0.43209999999999998</v>
      </c>
      <c r="S46" s="45">
        <v>1.6400000000000001E-2</v>
      </c>
      <c r="T46" s="45">
        <v>3.3E-3</v>
      </c>
      <c r="U46" s="18">
        <v>8.16E-7</v>
      </c>
      <c r="V46" s="8"/>
      <c r="W46" s="1">
        <v>323449</v>
      </c>
      <c r="X46" s="4">
        <v>0.44189999999999996</v>
      </c>
      <c r="Y46" s="4">
        <v>1.37E-2</v>
      </c>
      <c r="Z46" s="4">
        <v>3.8999999999999998E-3</v>
      </c>
      <c r="AA46" s="5">
        <v>3.6699999999999998E-4</v>
      </c>
      <c r="AB46" s="19">
        <v>288492</v>
      </c>
      <c r="AC46" s="29">
        <v>0.43080000000000002</v>
      </c>
      <c r="AD46" s="29">
        <v>1.7500000000000002E-2</v>
      </c>
      <c r="AE46" s="29">
        <v>4.0000000000000001E-3</v>
      </c>
      <c r="AF46" s="16">
        <v>1.3200000000000001E-5</v>
      </c>
      <c r="AG46" s="9"/>
      <c r="AH46" s="1">
        <v>119437</v>
      </c>
      <c r="AI46" s="4">
        <v>0.4304</v>
      </c>
      <c r="AJ46" s="4">
        <v>1.532E-2</v>
      </c>
      <c r="AK46" s="4">
        <v>6.1720000000000004E-3</v>
      </c>
      <c r="AL46" s="5">
        <v>1.3100000000000001E-2</v>
      </c>
      <c r="AM46" s="14">
        <v>0.7329</v>
      </c>
      <c r="AN46" s="10"/>
      <c r="AO46" s="9"/>
      <c r="AP46" s="1">
        <v>12605</v>
      </c>
      <c r="AQ46" s="4">
        <v>0.48793999999999998</v>
      </c>
      <c r="AR46" s="4">
        <v>-4.0000000000000001E-3</v>
      </c>
      <c r="AS46" s="4">
        <v>2.1371000000000001E-2</v>
      </c>
      <c r="AT46" s="1">
        <v>0.85152799999999995</v>
      </c>
      <c r="AU46" s="10">
        <v>0.99831000000000003</v>
      </c>
    </row>
    <row r="47" spans="1:47" x14ac:dyDescent="0.25">
      <c r="A47" s="7" t="s">
        <v>900</v>
      </c>
      <c r="B47" s="1301"/>
      <c r="C47" s="2" t="s">
        <v>139</v>
      </c>
      <c r="D47" s="2">
        <v>12</v>
      </c>
      <c r="E47" s="2">
        <v>123444507</v>
      </c>
      <c r="F47" s="60" t="s">
        <v>939</v>
      </c>
      <c r="G47" s="2" t="s">
        <v>140</v>
      </c>
      <c r="H47" s="1233"/>
      <c r="I47" s="2" t="s">
        <v>24</v>
      </c>
      <c r="J47" s="2" t="s">
        <v>23</v>
      </c>
      <c r="K47" s="8"/>
      <c r="L47" s="1">
        <v>466498</v>
      </c>
      <c r="M47" s="4">
        <v>0.98699999999999999</v>
      </c>
      <c r="N47" s="4">
        <v>5.2999999999999999E-2</v>
      </c>
      <c r="O47" s="4">
        <v>9.2999999999999992E-3</v>
      </c>
      <c r="P47" s="3">
        <v>1.3399999999999999E-8</v>
      </c>
      <c r="Q47" s="7">
        <v>412633</v>
      </c>
      <c r="R47" s="45">
        <v>0.98599999999999999</v>
      </c>
      <c r="S47" s="45">
        <v>5.6000000000000001E-2</v>
      </c>
      <c r="T47" s="45">
        <v>9.5999999999999992E-3</v>
      </c>
      <c r="U47" s="18">
        <v>4.4400000000000004E-9</v>
      </c>
      <c r="V47" s="8"/>
      <c r="W47" s="1">
        <v>334398</v>
      </c>
      <c r="X47" s="4">
        <v>0.98770000000000002</v>
      </c>
      <c r="Y47" s="4">
        <v>5.4100000000000002E-2</v>
      </c>
      <c r="Z47" s="4">
        <v>1.12E-2</v>
      </c>
      <c r="AA47" s="5">
        <v>1.33E-6</v>
      </c>
      <c r="AB47" s="19">
        <v>280533</v>
      </c>
      <c r="AC47" s="29">
        <v>0.98629999999999995</v>
      </c>
      <c r="AD47" s="29">
        <v>5.8700000000000002E-2</v>
      </c>
      <c r="AE47" s="29">
        <v>1.1599999999999999E-2</v>
      </c>
      <c r="AF47" s="16">
        <v>4.51E-7</v>
      </c>
      <c r="AG47" s="9"/>
      <c r="AH47" s="1">
        <v>119495</v>
      </c>
      <c r="AI47" s="4">
        <v>0.98524999999999996</v>
      </c>
      <c r="AJ47" s="4">
        <v>5.271E-2</v>
      </c>
      <c r="AK47" s="4">
        <v>1.6969999999999999E-2</v>
      </c>
      <c r="AL47" s="5">
        <v>1.9E-3</v>
      </c>
      <c r="AM47" s="14">
        <v>0.4864</v>
      </c>
      <c r="AN47" s="10"/>
      <c r="AO47" s="9"/>
      <c r="AP47" s="1">
        <v>12605</v>
      </c>
      <c r="AQ47" s="4">
        <v>0.99692000000000003</v>
      </c>
      <c r="AR47" s="4">
        <v>-8.5999999999999993E-2</v>
      </c>
      <c r="AS47" s="4">
        <v>0.13109499999999999</v>
      </c>
      <c r="AT47" s="1">
        <v>0.51181600000000005</v>
      </c>
      <c r="AU47" s="10">
        <v>0.989873</v>
      </c>
    </row>
    <row r="48" spans="1:47" x14ac:dyDescent="0.25">
      <c r="A48" s="7" t="s">
        <v>900</v>
      </c>
      <c r="B48" s="1301"/>
      <c r="C48" s="2" t="s">
        <v>143</v>
      </c>
      <c r="D48" s="2">
        <v>12</v>
      </c>
      <c r="E48" s="2">
        <v>124265687</v>
      </c>
      <c r="F48" s="1303" t="s">
        <v>940</v>
      </c>
      <c r="G48" s="2" t="s">
        <v>144</v>
      </c>
      <c r="H48" s="1233"/>
      <c r="I48" s="2" t="s">
        <v>23</v>
      </c>
      <c r="J48" s="2" t="s">
        <v>17</v>
      </c>
      <c r="K48" s="8"/>
      <c r="L48" s="1">
        <v>476360</v>
      </c>
      <c r="M48" s="4">
        <v>0.37319999999999998</v>
      </c>
      <c r="N48" s="4">
        <v>1.7899999999999999E-2</v>
      </c>
      <c r="O48" s="4">
        <v>2.2000000000000001E-3</v>
      </c>
      <c r="P48" s="3">
        <v>2.14E-16</v>
      </c>
      <c r="Q48" s="7">
        <v>420483</v>
      </c>
      <c r="R48" s="45">
        <v>0.3795</v>
      </c>
      <c r="S48" s="45">
        <v>1.8499999999999999E-2</v>
      </c>
      <c r="T48" s="45">
        <v>2.3E-3</v>
      </c>
      <c r="U48" s="18">
        <v>7.1800000000000003E-16</v>
      </c>
      <c r="V48" s="8"/>
      <c r="W48" s="1">
        <v>344369</v>
      </c>
      <c r="X48" s="4">
        <v>0.36370000000000002</v>
      </c>
      <c r="Y48" s="4">
        <v>1.9199999999999998E-2</v>
      </c>
      <c r="Z48" s="4">
        <v>2.5999999999999999E-3</v>
      </c>
      <c r="AA48" s="5">
        <v>7.8500000000000006E-14</v>
      </c>
      <c r="AB48" s="19">
        <v>288492</v>
      </c>
      <c r="AC48" s="29">
        <v>0.37159999999999999</v>
      </c>
      <c r="AD48" s="29">
        <v>2.0299999999999999E-2</v>
      </c>
      <c r="AE48" s="29">
        <v>2.8E-3</v>
      </c>
      <c r="AF48" s="16">
        <v>2.7699999999999998E-13</v>
      </c>
      <c r="AG48" s="9"/>
      <c r="AH48" s="1">
        <v>119386</v>
      </c>
      <c r="AI48" s="4">
        <v>0.39340000000000003</v>
      </c>
      <c r="AJ48" s="4">
        <v>1.423E-2</v>
      </c>
      <c r="AK48" s="4">
        <v>4.1869999999999997E-3</v>
      </c>
      <c r="AL48" s="5">
        <v>6.7699999999999998E-4</v>
      </c>
      <c r="AM48" s="14">
        <v>0.40410000000000001</v>
      </c>
      <c r="AN48" s="10"/>
      <c r="AO48" s="9"/>
      <c r="AP48" s="1">
        <v>12605</v>
      </c>
      <c r="AQ48" s="4">
        <v>0.41958000000000001</v>
      </c>
      <c r="AR48" s="4">
        <v>2.1000000000000001E-2</v>
      </c>
      <c r="AS48" s="4">
        <v>1.33966E-2</v>
      </c>
      <c r="AT48" s="1">
        <v>0.116983</v>
      </c>
      <c r="AU48" s="10">
        <v>0.99983599999999995</v>
      </c>
    </row>
    <row r="49" spans="1:47" x14ac:dyDescent="0.25">
      <c r="A49" s="7" t="s">
        <v>900</v>
      </c>
      <c r="B49" s="1301"/>
      <c r="C49" s="2" t="s">
        <v>146</v>
      </c>
      <c r="D49" s="2">
        <v>12</v>
      </c>
      <c r="E49" s="2">
        <v>124330311</v>
      </c>
      <c r="F49" s="1303"/>
      <c r="G49" s="2" t="s">
        <v>147</v>
      </c>
      <c r="H49" s="1233"/>
      <c r="I49" s="2" t="s">
        <v>17</v>
      </c>
      <c r="J49" s="2" t="s">
        <v>23</v>
      </c>
      <c r="K49" s="8"/>
      <c r="L49" s="1">
        <v>476395</v>
      </c>
      <c r="M49" s="4">
        <v>0.88929999999999998</v>
      </c>
      <c r="N49" s="4">
        <v>2.52E-2</v>
      </c>
      <c r="O49" s="4">
        <v>3.3E-3</v>
      </c>
      <c r="P49" s="3">
        <v>2.8800000000000001E-14</v>
      </c>
      <c r="Q49" s="7">
        <v>420518</v>
      </c>
      <c r="R49" s="45">
        <v>0.88149999999999995</v>
      </c>
      <c r="S49" s="45">
        <v>2.5700000000000001E-2</v>
      </c>
      <c r="T49" s="45">
        <v>3.3999999999999998E-3</v>
      </c>
      <c r="U49" s="18">
        <v>6.7700000000000004E-14</v>
      </c>
      <c r="V49" s="8"/>
      <c r="W49" s="1">
        <v>344369</v>
      </c>
      <c r="X49" s="4">
        <v>0.89429999999999998</v>
      </c>
      <c r="Y49" s="4">
        <v>2.3300000000000001E-2</v>
      </c>
      <c r="Z49" s="4">
        <v>4.0000000000000001E-3</v>
      </c>
      <c r="AA49" s="5">
        <v>6.4599999999999996E-9</v>
      </c>
      <c r="AB49" s="19">
        <v>288492</v>
      </c>
      <c r="AC49" s="29">
        <v>0.88319999999999999</v>
      </c>
      <c r="AD49" s="29">
        <v>2.3800000000000002E-2</v>
      </c>
      <c r="AE49" s="29">
        <v>4.1999999999999997E-3</v>
      </c>
      <c r="AF49" s="16">
        <v>1.33E-8</v>
      </c>
      <c r="AG49" s="9"/>
      <c r="AH49" s="1">
        <v>119421</v>
      </c>
      <c r="AI49" s="4">
        <v>0.87749999999999995</v>
      </c>
      <c r="AJ49" s="4">
        <v>2.9250000000000002E-2</v>
      </c>
      <c r="AK49" s="4">
        <v>6.2290000000000002E-3</v>
      </c>
      <c r="AL49" s="5">
        <v>2.6599999999999999E-6</v>
      </c>
      <c r="AM49" s="14">
        <v>0.90380000000000005</v>
      </c>
      <c r="AN49" s="10"/>
      <c r="AO49" s="9"/>
      <c r="AP49" s="1">
        <v>12605</v>
      </c>
      <c r="AQ49" s="4">
        <v>0.88531000000000004</v>
      </c>
      <c r="AR49" s="4">
        <v>3.3000000000000002E-2</v>
      </c>
      <c r="AS49" s="4">
        <v>2.0352200000000001E-2</v>
      </c>
      <c r="AT49" s="1">
        <v>0.104922</v>
      </c>
      <c r="AU49" s="10">
        <v>0.99729800000000002</v>
      </c>
    </row>
    <row r="50" spans="1:47" x14ac:dyDescent="0.25">
      <c r="A50" s="7" t="s">
        <v>900</v>
      </c>
      <c r="B50" s="1301"/>
      <c r="C50" s="2" t="s">
        <v>149</v>
      </c>
      <c r="D50" s="2">
        <v>12</v>
      </c>
      <c r="E50" s="2">
        <v>124427306</v>
      </c>
      <c r="F50" s="60" t="s">
        <v>941</v>
      </c>
      <c r="G50" s="2" t="s">
        <v>150</v>
      </c>
      <c r="H50" s="1233"/>
      <c r="I50" s="2" t="s">
        <v>23</v>
      </c>
      <c r="J50" s="2" t="s">
        <v>16</v>
      </c>
      <c r="K50" s="8"/>
      <c r="L50" s="1">
        <v>467649</v>
      </c>
      <c r="M50" s="4">
        <v>0.6946</v>
      </c>
      <c r="N50" s="4">
        <v>2.87E-2</v>
      </c>
      <c r="O50" s="4">
        <v>2.3E-3</v>
      </c>
      <c r="P50" s="3">
        <v>7.2699999999999999E-37</v>
      </c>
      <c r="Q50" s="7">
        <v>413549</v>
      </c>
      <c r="R50" s="45">
        <v>0.6855</v>
      </c>
      <c r="S50" s="45">
        <v>3.0599999999999999E-2</v>
      </c>
      <c r="T50" s="45">
        <v>2.3999999999999998E-3</v>
      </c>
      <c r="U50" s="18">
        <v>6.1599999999999999E-38</v>
      </c>
      <c r="V50" s="8"/>
      <c r="W50" s="1">
        <v>335701</v>
      </c>
      <c r="X50" s="4">
        <v>0.69720000000000004</v>
      </c>
      <c r="Y50" s="4">
        <v>2.7199999999999998E-2</v>
      </c>
      <c r="Z50" s="4">
        <v>2.7000000000000001E-3</v>
      </c>
      <c r="AA50" s="5">
        <v>1.6699999999999999E-23</v>
      </c>
      <c r="AB50" s="19">
        <v>281601</v>
      </c>
      <c r="AC50" s="29">
        <v>0.68400000000000005</v>
      </c>
      <c r="AD50" s="29">
        <v>2.98E-2</v>
      </c>
      <c r="AE50" s="29">
        <v>2.8999999999999998E-3</v>
      </c>
      <c r="AF50" s="16">
        <v>3.3699999999999996E-24</v>
      </c>
      <c r="AG50" s="9"/>
      <c r="AH50" s="1">
        <v>119343</v>
      </c>
      <c r="AI50" s="4">
        <v>0.68869999999999998</v>
      </c>
      <c r="AJ50" s="4">
        <v>3.603E-2</v>
      </c>
      <c r="AK50" s="4">
        <v>4.4070000000000003E-3</v>
      </c>
      <c r="AL50" s="5">
        <v>2.9500000000000001E-16</v>
      </c>
      <c r="AM50" s="14">
        <v>0.50090000000000001</v>
      </c>
      <c r="AN50" s="10"/>
      <c r="AO50" s="9"/>
      <c r="AP50" s="1">
        <v>12605</v>
      </c>
      <c r="AQ50" s="4">
        <v>0.68696000000000002</v>
      </c>
      <c r="AR50" s="4">
        <v>3.0000000000000001E-3</v>
      </c>
      <c r="AS50" s="4">
        <v>1.22034E-2</v>
      </c>
      <c r="AT50" s="1">
        <v>0.80581199999999997</v>
      </c>
      <c r="AU50" s="10">
        <v>0.99996600000000002</v>
      </c>
    </row>
    <row r="51" spans="1:47" x14ac:dyDescent="0.25">
      <c r="A51" s="7" t="s">
        <v>900</v>
      </c>
      <c r="B51" s="904">
        <v>34</v>
      </c>
      <c r="C51" s="2" t="s">
        <v>246</v>
      </c>
      <c r="D51" s="2">
        <v>13</v>
      </c>
      <c r="E51" s="2">
        <v>96665697</v>
      </c>
      <c r="F51" s="60" t="s">
        <v>247</v>
      </c>
      <c r="G51" s="2" t="s">
        <v>248</v>
      </c>
      <c r="I51" s="2" t="s">
        <v>16</v>
      </c>
      <c r="J51" s="2" t="s">
        <v>24</v>
      </c>
      <c r="K51" s="8"/>
      <c r="L51" s="1">
        <v>431132</v>
      </c>
      <c r="M51" s="4">
        <v>4.4999999999999997E-3</v>
      </c>
      <c r="N51" s="4">
        <v>5.5899999999999998E-2</v>
      </c>
      <c r="O51" s="4">
        <v>1.8100000000000002E-2</v>
      </c>
      <c r="P51" s="3">
        <v>1.939E-3</v>
      </c>
      <c r="Q51" s="7">
        <v>381657</v>
      </c>
      <c r="R51" s="45">
        <v>5.3E-3</v>
      </c>
      <c r="S51" s="45">
        <v>5.33E-2</v>
      </c>
      <c r="T51" s="45">
        <v>1.8100000000000002E-2</v>
      </c>
      <c r="U51" s="18">
        <v>3.29E-3</v>
      </c>
      <c r="V51" s="8"/>
      <c r="W51" s="1">
        <v>298955</v>
      </c>
      <c r="X51" s="4">
        <v>4.7999999999999996E-3</v>
      </c>
      <c r="Y51" s="4">
        <v>7.0400000000000004E-2</v>
      </c>
      <c r="Z51" s="4">
        <v>1.8800000000000001E-2</v>
      </c>
      <c r="AA51" s="5">
        <v>1.8200000000000001E-4</v>
      </c>
      <c r="AB51" s="19">
        <v>249480</v>
      </c>
      <c r="AC51" s="29">
        <v>5.7000000000000002E-3</v>
      </c>
      <c r="AD51" s="29">
        <v>6.7699999999999996E-2</v>
      </c>
      <c r="AE51" s="29">
        <v>1.89E-2</v>
      </c>
      <c r="AF51" s="16">
        <v>3.3E-4</v>
      </c>
      <c r="AG51" s="9"/>
      <c r="AH51" s="1">
        <v>119572</v>
      </c>
      <c r="AI51" s="4">
        <v>1.1100000000000001E-3</v>
      </c>
      <c r="AJ51" s="4">
        <v>-0.107853</v>
      </c>
      <c r="AK51" s="4">
        <v>6.48812E-2</v>
      </c>
      <c r="AL51" s="5">
        <v>9.6500000000000002E-2</v>
      </c>
      <c r="AM51" s="14"/>
      <c r="AN51" s="10">
        <v>0.88607100000000005</v>
      </c>
      <c r="AO51" s="9"/>
      <c r="AP51" s="1">
        <v>12605</v>
      </c>
      <c r="AQ51" s="4">
        <v>6.9999999999999994E-5</v>
      </c>
      <c r="AR51" s="4">
        <v>-1.0049999999999999</v>
      </c>
      <c r="AS51" s="4">
        <v>0.73308799999999996</v>
      </c>
      <c r="AT51" s="1">
        <v>0.170402</v>
      </c>
      <c r="AU51" s="10">
        <v>0.94278200000000001</v>
      </c>
    </row>
    <row r="52" spans="1:47" x14ac:dyDescent="0.25">
      <c r="A52" s="7" t="s">
        <v>900</v>
      </c>
      <c r="B52" s="904">
        <v>35</v>
      </c>
      <c r="C52" s="2" t="s">
        <v>251</v>
      </c>
      <c r="D52" s="2">
        <v>14</v>
      </c>
      <c r="E52" s="2">
        <v>23312594</v>
      </c>
      <c r="F52" s="60" t="s">
        <v>252</v>
      </c>
      <c r="G52" s="2" t="s">
        <v>253</v>
      </c>
      <c r="I52" s="2" t="s">
        <v>16</v>
      </c>
      <c r="J52" s="2" t="s">
        <v>24</v>
      </c>
      <c r="K52" s="8"/>
      <c r="L52" s="1">
        <v>476311</v>
      </c>
      <c r="M52" s="4">
        <v>0.19900000000000001</v>
      </c>
      <c r="N52" s="4">
        <v>1.0999999999999999E-2</v>
      </c>
      <c r="O52" s="4">
        <v>2.5999999999999999E-3</v>
      </c>
      <c r="P52" s="3">
        <v>2.1399999999999998E-5</v>
      </c>
      <c r="Q52" s="7">
        <v>420434</v>
      </c>
      <c r="R52" s="45">
        <v>0.20669999999999999</v>
      </c>
      <c r="S52" s="45">
        <v>1.14E-2</v>
      </c>
      <c r="T52" s="45">
        <v>2.7000000000000001E-3</v>
      </c>
      <c r="U52" s="18">
        <v>2.6699999999999998E-5</v>
      </c>
      <c r="V52" s="8"/>
      <c r="W52" s="1">
        <v>344369</v>
      </c>
      <c r="X52" s="4">
        <v>0.19289999999999999</v>
      </c>
      <c r="Y52" s="4">
        <v>1.24E-2</v>
      </c>
      <c r="Z52" s="4">
        <v>3.0999999999999999E-3</v>
      </c>
      <c r="AA52" s="5">
        <v>6.7899999999999997E-5</v>
      </c>
      <c r="AB52" s="19">
        <v>288492</v>
      </c>
      <c r="AC52" s="29">
        <v>0.2034</v>
      </c>
      <c r="AD52" s="29">
        <v>1.3100000000000001E-2</v>
      </c>
      <c r="AE52" s="29">
        <v>3.3E-3</v>
      </c>
      <c r="AF52" s="16">
        <v>7.7600000000000002E-5</v>
      </c>
      <c r="AG52" s="9"/>
      <c r="AH52" s="1">
        <v>119337</v>
      </c>
      <c r="AI52" s="4">
        <v>0.2162</v>
      </c>
      <c r="AJ52" s="4">
        <v>8.9630000000000005E-3</v>
      </c>
      <c r="AK52" s="4">
        <v>4.9740000000000001E-3</v>
      </c>
      <c r="AL52" s="5">
        <v>7.1599999999999997E-2</v>
      </c>
      <c r="AM52" s="14">
        <v>0.19839999999999999</v>
      </c>
      <c r="AN52" s="10" t="s">
        <v>1</v>
      </c>
      <c r="AO52" s="9"/>
      <c r="AP52" s="1">
        <v>12605</v>
      </c>
      <c r="AQ52" s="4">
        <v>0.18521000000000001</v>
      </c>
      <c r="AR52" s="4">
        <v>-4.0000000000000001E-3</v>
      </c>
      <c r="AS52" s="4">
        <v>1.6014899999999999E-2</v>
      </c>
      <c r="AT52" s="1">
        <v>0.80276700000000001</v>
      </c>
      <c r="AU52" s="10">
        <v>0.996977</v>
      </c>
    </row>
    <row r="53" spans="1:47" x14ac:dyDescent="0.25">
      <c r="A53" s="7" t="s">
        <v>900</v>
      </c>
      <c r="B53" s="904">
        <v>36</v>
      </c>
      <c r="C53" s="2" t="s">
        <v>219</v>
      </c>
      <c r="D53" s="2">
        <v>14</v>
      </c>
      <c r="E53" s="2">
        <v>58838668</v>
      </c>
      <c r="F53" s="60" t="s">
        <v>220</v>
      </c>
      <c r="G53" s="2" t="s">
        <v>96</v>
      </c>
      <c r="I53" s="2" t="s">
        <v>16</v>
      </c>
      <c r="J53" s="2" t="s">
        <v>24</v>
      </c>
      <c r="K53" s="8"/>
      <c r="L53" s="1">
        <v>421512</v>
      </c>
      <c r="M53" s="4">
        <v>0.41539999999999999</v>
      </c>
      <c r="N53" s="4">
        <v>1.11E-2</v>
      </c>
      <c r="O53" s="4">
        <v>2.2000000000000001E-3</v>
      </c>
      <c r="P53" s="3">
        <v>7.1999999999999999E-7</v>
      </c>
      <c r="Q53" s="7">
        <v>367079</v>
      </c>
      <c r="R53" s="45">
        <v>0.4108</v>
      </c>
      <c r="S53" s="45">
        <v>1.34E-2</v>
      </c>
      <c r="T53" s="45">
        <v>2.3999999999999998E-3</v>
      </c>
      <c r="U53" s="18">
        <v>2.1900000000000001E-8</v>
      </c>
      <c r="V53" s="8"/>
      <c r="W53" s="1">
        <v>289335</v>
      </c>
      <c r="X53" s="4">
        <v>0.41749999999999998</v>
      </c>
      <c r="Y53" s="4">
        <v>1.0800000000000001E-2</v>
      </c>
      <c r="Z53" s="4">
        <v>2.7000000000000001E-3</v>
      </c>
      <c r="AA53" s="5">
        <v>8.2700000000000004E-5</v>
      </c>
      <c r="AB53" s="19">
        <v>234902</v>
      </c>
      <c r="AC53" s="29">
        <v>0.41070000000000001</v>
      </c>
      <c r="AD53" s="29">
        <v>1.44E-2</v>
      </c>
      <c r="AE53" s="29">
        <v>3.0000000000000001E-3</v>
      </c>
      <c r="AF53" s="16">
        <v>2.1799999999999999E-6</v>
      </c>
      <c r="AG53" s="9"/>
      <c r="AH53" s="1">
        <v>119572</v>
      </c>
      <c r="AI53" s="4">
        <v>0.41427999999999998</v>
      </c>
      <c r="AJ53" s="4">
        <v>1.1395499999999999E-2</v>
      </c>
      <c r="AK53" s="4">
        <v>4.1438999999999998E-3</v>
      </c>
      <c r="AL53" s="5">
        <v>5.96E-3</v>
      </c>
      <c r="AM53" s="14"/>
      <c r="AN53" s="10">
        <v>0.99477199999999999</v>
      </c>
      <c r="AO53" s="9"/>
      <c r="AP53" s="1">
        <v>12605</v>
      </c>
      <c r="AQ53" s="4">
        <v>0.37486000000000003</v>
      </c>
      <c r="AR53" s="4">
        <v>1.4E-2</v>
      </c>
      <c r="AS53" s="4">
        <v>1.3585E-2</v>
      </c>
      <c r="AT53" s="1">
        <v>0.30275400000000002</v>
      </c>
      <c r="AU53" s="10">
        <v>0.99994499999999997</v>
      </c>
    </row>
    <row r="54" spans="1:47" x14ac:dyDescent="0.25">
      <c r="A54" s="7" t="s">
        <v>900</v>
      </c>
      <c r="B54" s="904">
        <v>37</v>
      </c>
      <c r="C54" s="2" t="s">
        <v>942</v>
      </c>
      <c r="D54" s="2">
        <v>14</v>
      </c>
      <c r="E54" s="2">
        <v>99876522</v>
      </c>
      <c r="F54" s="60" t="s">
        <v>943</v>
      </c>
      <c r="G54" s="2" t="s">
        <v>944</v>
      </c>
      <c r="I54" s="2" t="s">
        <v>17</v>
      </c>
      <c r="J54" s="2" t="s">
        <v>23</v>
      </c>
      <c r="K54" s="8"/>
      <c r="L54" s="1">
        <v>309172</v>
      </c>
      <c r="M54" s="4">
        <v>0.99990000000000001</v>
      </c>
      <c r="N54" s="4">
        <v>0.63290000000000002</v>
      </c>
      <c r="O54" s="4">
        <v>0.14269999999999999</v>
      </c>
      <c r="P54" s="3">
        <v>9.1800000000000002E-6</v>
      </c>
      <c r="Q54" s="7">
        <v>258253</v>
      </c>
      <c r="R54" s="45">
        <v>0.99990000000000001</v>
      </c>
      <c r="S54" s="45">
        <v>0.65939999999999999</v>
      </c>
      <c r="T54" s="45">
        <v>0.1489</v>
      </c>
      <c r="U54" s="18">
        <v>9.4900000000000006E-6</v>
      </c>
      <c r="V54" s="8"/>
      <c r="W54" s="1">
        <v>309172</v>
      </c>
      <c r="X54" s="4">
        <v>0.99990000000000001</v>
      </c>
      <c r="Y54" s="4">
        <v>0.63290000000000002</v>
      </c>
      <c r="Z54" s="4">
        <v>0.14269999999999999</v>
      </c>
      <c r="AA54" s="5">
        <v>9.1800000000000002E-6</v>
      </c>
      <c r="AB54" s="19">
        <v>258253</v>
      </c>
      <c r="AC54" s="29">
        <v>0.99990000000000001</v>
      </c>
      <c r="AD54" s="29">
        <v>0.65939999999999999</v>
      </c>
      <c r="AE54" s="29">
        <v>0.1489</v>
      </c>
      <c r="AF54" s="16">
        <v>9.4900000000000006E-6</v>
      </c>
      <c r="AG54" s="9"/>
      <c r="AH54" s="1"/>
      <c r="AI54" s="4"/>
      <c r="AJ54" s="4"/>
      <c r="AK54" s="4"/>
      <c r="AL54" s="1"/>
      <c r="AM54" s="14"/>
      <c r="AN54" s="10"/>
      <c r="AO54" s="9"/>
      <c r="AP54" s="1"/>
      <c r="AQ54" s="4"/>
      <c r="AR54" s="4"/>
      <c r="AS54" s="4"/>
      <c r="AT54" s="1"/>
      <c r="AU54" s="10"/>
    </row>
    <row r="55" spans="1:47" x14ac:dyDescent="0.25">
      <c r="A55" s="7" t="s">
        <v>900</v>
      </c>
      <c r="B55" s="1301">
        <v>38</v>
      </c>
      <c r="C55" s="2" t="s">
        <v>152</v>
      </c>
      <c r="D55" s="2">
        <v>15</v>
      </c>
      <c r="E55" s="2">
        <v>42032383</v>
      </c>
      <c r="F55" s="60" t="s">
        <v>153</v>
      </c>
      <c r="G55" s="2" t="s">
        <v>154</v>
      </c>
      <c r="I55" s="2" t="s">
        <v>24</v>
      </c>
      <c r="J55" s="2" t="s">
        <v>17</v>
      </c>
      <c r="K55" s="8"/>
      <c r="L55" s="1">
        <v>469874</v>
      </c>
      <c r="M55" s="4">
        <v>0.34539999999999998</v>
      </c>
      <c r="N55" s="4">
        <v>1.4999999999999999E-2</v>
      </c>
      <c r="O55" s="4">
        <v>2.3E-3</v>
      </c>
      <c r="P55" s="3">
        <v>3.4499999999999997E-11</v>
      </c>
      <c r="Q55" s="7">
        <v>413997</v>
      </c>
      <c r="R55" s="45">
        <v>0.35410000000000003</v>
      </c>
      <c r="S55" s="45">
        <v>1.7100000000000001E-2</v>
      </c>
      <c r="T55" s="45">
        <v>2.3999999999999998E-3</v>
      </c>
      <c r="U55" s="18">
        <v>8.0999999999999998E-13</v>
      </c>
      <c r="V55" s="8"/>
      <c r="W55" s="1">
        <v>338248</v>
      </c>
      <c r="X55" s="4">
        <v>0.34499999999999997</v>
      </c>
      <c r="Y55" s="4">
        <v>1.6299999999999999E-2</v>
      </c>
      <c r="Z55" s="4">
        <v>2.7000000000000001E-3</v>
      </c>
      <c r="AA55" s="5">
        <v>8.08E-10</v>
      </c>
      <c r="AB55" s="19">
        <v>282371</v>
      </c>
      <c r="AC55" s="29">
        <v>0.35770000000000002</v>
      </c>
      <c r="AD55" s="29">
        <v>1.95E-2</v>
      </c>
      <c r="AE55" s="29">
        <v>2.8999999999999998E-3</v>
      </c>
      <c r="AF55" s="16">
        <v>1.33E-11</v>
      </c>
      <c r="AG55" s="9"/>
      <c r="AH55" s="1">
        <v>119021</v>
      </c>
      <c r="AI55" s="4">
        <v>0.34549999999999997</v>
      </c>
      <c r="AJ55" s="4">
        <v>1.2579999999999999E-2</v>
      </c>
      <c r="AK55" s="4">
        <v>4.3059999999999999E-3</v>
      </c>
      <c r="AL55" s="5">
        <v>3.49E-3</v>
      </c>
      <c r="AM55" s="14">
        <v>0.62270000000000003</v>
      </c>
      <c r="AN55" s="10"/>
      <c r="AO55" s="9"/>
      <c r="AP55" s="1">
        <v>12605</v>
      </c>
      <c r="AQ55" s="4">
        <v>0.36575000000000002</v>
      </c>
      <c r="AR55" s="4">
        <v>1E-3</v>
      </c>
      <c r="AS55" s="4">
        <v>1.9131200000000001E-2</v>
      </c>
      <c r="AT55" s="1">
        <v>0.95831299999999997</v>
      </c>
      <c r="AU55" s="10">
        <v>0.99997599999999998</v>
      </c>
    </row>
    <row r="56" spans="1:47" x14ac:dyDescent="0.25">
      <c r="A56" s="7" t="s">
        <v>900</v>
      </c>
      <c r="B56" s="1301"/>
      <c r="C56" s="2" t="s">
        <v>222</v>
      </c>
      <c r="D56" s="2">
        <v>15</v>
      </c>
      <c r="E56" s="2">
        <v>42115747</v>
      </c>
      <c r="F56" s="60" t="s">
        <v>223</v>
      </c>
      <c r="G56" s="2" t="s">
        <v>224</v>
      </c>
      <c r="I56" s="2" t="s">
        <v>17</v>
      </c>
      <c r="J56" s="2" t="s">
        <v>24</v>
      </c>
      <c r="K56" s="8"/>
      <c r="L56" s="1">
        <v>294872</v>
      </c>
      <c r="M56" s="4">
        <v>0.31480000000000002</v>
      </c>
      <c r="N56" s="4">
        <v>1.41E-2</v>
      </c>
      <c r="O56" s="4">
        <v>2.8999999999999998E-3</v>
      </c>
      <c r="P56" s="3">
        <v>1.1200000000000001E-6</v>
      </c>
      <c r="Q56" s="7">
        <v>253703</v>
      </c>
      <c r="R56" s="45">
        <v>0.34889999999999999</v>
      </c>
      <c r="S56" s="45">
        <v>1.7299999999999999E-2</v>
      </c>
      <c r="T56" s="45">
        <v>3.0999999999999999E-3</v>
      </c>
      <c r="U56" s="18">
        <v>2.0199999999999999E-8</v>
      </c>
      <c r="V56" s="8"/>
      <c r="W56" s="1">
        <v>162817</v>
      </c>
      <c r="X56" s="4">
        <v>0.29360000000000003</v>
      </c>
      <c r="Y56" s="4">
        <v>1.5800000000000002E-2</v>
      </c>
      <c r="Z56" s="4">
        <v>4.1000000000000003E-3</v>
      </c>
      <c r="AA56" s="5">
        <v>1.17E-4</v>
      </c>
      <c r="AB56" s="19">
        <v>121648</v>
      </c>
      <c r="AC56" s="29">
        <v>0.3664</v>
      </c>
      <c r="AD56" s="29">
        <v>2.3800000000000002E-2</v>
      </c>
      <c r="AE56" s="29">
        <v>4.7000000000000002E-3</v>
      </c>
      <c r="AF56" s="16">
        <v>3.4299999999999999E-7</v>
      </c>
      <c r="AG56" s="9"/>
      <c r="AH56" s="1">
        <v>119450</v>
      </c>
      <c r="AI56" s="4">
        <v>0.33400000000000002</v>
      </c>
      <c r="AJ56" s="4">
        <v>1.359E-2</v>
      </c>
      <c r="AK56" s="4">
        <v>4.3319999999999999E-3</v>
      </c>
      <c r="AL56" s="5">
        <v>1.7099999999999999E-3</v>
      </c>
      <c r="AM56" s="14">
        <v>0.81040000000000001</v>
      </c>
      <c r="AN56" s="10"/>
      <c r="AO56" s="9"/>
      <c r="AP56" s="1">
        <v>12605</v>
      </c>
      <c r="AQ56" s="4">
        <v>0.34955999999999998</v>
      </c>
      <c r="AR56" s="4">
        <v>3.0000000000000001E-3</v>
      </c>
      <c r="AS56" s="4">
        <v>1.19819E-2</v>
      </c>
      <c r="AT56" s="1">
        <v>0.80229499999999998</v>
      </c>
      <c r="AU56" s="10">
        <v>0.99975599999999998</v>
      </c>
    </row>
    <row r="57" spans="1:47" x14ac:dyDescent="0.25">
      <c r="A57" s="7" t="s">
        <v>900</v>
      </c>
      <c r="B57" s="1301"/>
      <c r="C57" s="2" t="s">
        <v>945</v>
      </c>
      <c r="D57" s="2">
        <v>15</v>
      </c>
      <c r="E57" s="2">
        <v>42166500</v>
      </c>
      <c r="F57" s="60" t="s">
        <v>946</v>
      </c>
      <c r="G57" s="2" t="s">
        <v>947</v>
      </c>
      <c r="I57" s="2" t="s">
        <v>23</v>
      </c>
      <c r="J57" s="2" t="s">
        <v>17</v>
      </c>
      <c r="K57" s="8"/>
      <c r="L57" s="1">
        <v>461601</v>
      </c>
      <c r="M57" s="4">
        <v>0.43359999999999999</v>
      </c>
      <c r="N57" s="4">
        <v>0.01</v>
      </c>
      <c r="O57" s="4">
        <v>2.2000000000000001E-3</v>
      </c>
      <c r="P57" s="3">
        <v>3.9500000000000003E-6</v>
      </c>
      <c r="Q57" s="7">
        <v>405724</v>
      </c>
      <c r="R57" s="45">
        <v>0.44190000000000002</v>
      </c>
      <c r="S57" s="45">
        <v>1.09E-2</v>
      </c>
      <c r="T57" s="45">
        <v>2.3E-3</v>
      </c>
      <c r="U57" s="18">
        <v>1.8500000000000001E-6</v>
      </c>
      <c r="V57" s="8"/>
      <c r="W57" s="1">
        <v>329791</v>
      </c>
      <c r="X57" s="4">
        <v>0.4294</v>
      </c>
      <c r="Y57" s="4">
        <v>1.18E-2</v>
      </c>
      <c r="Z57" s="4">
        <v>2.5999999999999999E-3</v>
      </c>
      <c r="AA57" s="5">
        <v>7.2300000000000002E-6</v>
      </c>
      <c r="AB57" s="19">
        <v>273914</v>
      </c>
      <c r="AC57" s="29">
        <v>0.44109999999999999</v>
      </c>
      <c r="AD57" s="29">
        <v>1.34E-2</v>
      </c>
      <c r="AE57" s="29">
        <v>2.8E-3</v>
      </c>
      <c r="AF57" s="16">
        <v>2.5100000000000001E-6</v>
      </c>
      <c r="AG57" s="9"/>
      <c r="AH57" s="1">
        <v>119205</v>
      </c>
      <c r="AI57" s="4">
        <v>0.441</v>
      </c>
      <c r="AJ57" s="4">
        <v>8.8940000000000009E-3</v>
      </c>
      <c r="AK57" s="4">
        <v>4.1159999999999999E-3</v>
      </c>
      <c r="AL57" s="5">
        <v>3.0700000000000002E-2</v>
      </c>
      <c r="AM57" s="14">
        <v>0.61040000000000005</v>
      </c>
      <c r="AN57" s="10"/>
      <c r="AO57" s="9"/>
      <c r="AP57" s="1">
        <v>12605</v>
      </c>
      <c r="AQ57" s="4">
        <v>0.46776000000000001</v>
      </c>
      <c r="AR57" s="4">
        <v>-2.5000000000000001E-2</v>
      </c>
      <c r="AS57" s="4">
        <v>1.32379E-2</v>
      </c>
      <c r="AT57" s="1">
        <v>5.8957299999999997E-2</v>
      </c>
      <c r="AU57" s="10">
        <v>0.99922</v>
      </c>
    </row>
    <row r="58" spans="1:47" x14ac:dyDescent="0.25">
      <c r="A58" s="7" t="s">
        <v>900</v>
      </c>
      <c r="B58" s="904">
        <v>39</v>
      </c>
      <c r="C58" s="2" t="s">
        <v>156</v>
      </c>
      <c r="D58" s="2">
        <v>15</v>
      </c>
      <c r="E58" s="2">
        <v>56756285</v>
      </c>
      <c r="F58" s="60" t="s">
        <v>157</v>
      </c>
      <c r="G58" s="2" t="s">
        <v>158</v>
      </c>
      <c r="H58" s="889" t="s">
        <v>159</v>
      </c>
      <c r="I58" s="2" t="s">
        <v>24</v>
      </c>
      <c r="J58" s="2" t="s">
        <v>23</v>
      </c>
      <c r="K58" s="8"/>
      <c r="L58" s="1">
        <v>476274</v>
      </c>
      <c r="M58" s="4">
        <v>9.5799999999999996E-2</v>
      </c>
      <c r="N58" s="4">
        <v>2.2800000000000001E-2</v>
      </c>
      <c r="O58" s="4">
        <v>3.5000000000000001E-3</v>
      </c>
      <c r="P58" s="3">
        <v>8.8299999999999995E-11</v>
      </c>
      <c r="Q58" s="7">
        <v>420397</v>
      </c>
      <c r="R58" s="45">
        <v>0.1011</v>
      </c>
      <c r="S58" s="45">
        <v>2.3300000000000001E-2</v>
      </c>
      <c r="T58" s="45">
        <v>3.7000000000000002E-3</v>
      </c>
      <c r="U58" s="18">
        <v>2.3300000000000002E-10</v>
      </c>
      <c r="V58" s="8"/>
      <c r="W58" s="1">
        <v>344369</v>
      </c>
      <c r="X58" s="4">
        <v>9.2600000000000002E-2</v>
      </c>
      <c r="Y58" s="4">
        <v>2.1899999999999999E-2</v>
      </c>
      <c r="Z58" s="4">
        <v>4.1999999999999997E-3</v>
      </c>
      <c r="AA58" s="5">
        <v>2.4900000000000002E-7</v>
      </c>
      <c r="AB58" s="19">
        <v>288492</v>
      </c>
      <c r="AC58" s="29">
        <v>0.10009999999999999</v>
      </c>
      <c r="AD58" s="29">
        <v>2.2599999999999999E-2</v>
      </c>
      <c r="AE58" s="29">
        <v>4.4999999999999997E-3</v>
      </c>
      <c r="AF58" s="16">
        <v>4.1800000000000001E-7</v>
      </c>
      <c r="AG58" s="9"/>
      <c r="AH58" s="1">
        <v>119300</v>
      </c>
      <c r="AI58" s="4">
        <v>0.105</v>
      </c>
      <c r="AJ58" s="4">
        <v>2.5510000000000001E-2</v>
      </c>
      <c r="AK58" s="4">
        <v>6.672E-3</v>
      </c>
      <c r="AL58" s="5">
        <v>1.3200000000000001E-4</v>
      </c>
      <c r="AM58" s="14">
        <v>0.54930000000000001</v>
      </c>
      <c r="AN58" s="10"/>
      <c r="AO58" s="9"/>
      <c r="AP58" s="1">
        <v>12605</v>
      </c>
      <c r="AQ58" s="4">
        <v>8.0699999999999994E-2</v>
      </c>
      <c r="AR58" s="4">
        <v>1.7000000000000001E-2</v>
      </c>
      <c r="AS58" s="4">
        <v>2.3354300000000001E-2</v>
      </c>
      <c r="AT58" s="1">
        <v>0.466665</v>
      </c>
      <c r="AU58" s="10">
        <v>0.99902199999999997</v>
      </c>
    </row>
    <row r="59" spans="1:47" x14ac:dyDescent="0.25">
      <c r="A59" s="7" t="s">
        <v>900</v>
      </c>
      <c r="B59" s="1301">
        <v>40</v>
      </c>
      <c r="C59" s="2" t="s">
        <v>161</v>
      </c>
      <c r="D59" s="2">
        <v>16</v>
      </c>
      <c r="E59" s="2">
        <v>4432029</v>
      </c>
      <c r="F59" s="60" t="s">
        <v>948</v>
      </c>
      <c r="G59" s="2" t="s">
        <v>162</v>
      </c>
      <c r="I59" s="2" t="s">
        <v>16</v>
      </c>
      <c r="J59" s="2" t="s">
        <v>17</v>
      </c>
      <c r="K59" s="8"/>
      <c r="L59" s="1">
        <v>424163</v>
      </c>
      <c r="M59" s="4">
        <v>0.23130000000000001</v>
      </c>
      <c r="N59" s="4">
        <v>1.5800000000000002E-2</v>
      </c>
      <c r="O59" s="4">
        <v>2.5999999999999999E-3</v>
      </c>
      <c r="P59" s="3">
        <v>1.9800000000000002E-9</v>
      </c>
      <c r="Q59" s="7">
        <v>393509</v>
      </c>
      <c r="R59" s="45">
        <v>0.2233</v>
      </c>
      <c r="S59" s="45">
        <v>1.5699999999999999E-2</v>
      </c>
      <c r="T59" s="45">
        <v>2.7000000000000001E-3</v>
      </c>
      <c r="U59" s="18">
        <v>1.09E-8</v>
      </c>
      <c r="V59" s="8"/>
      <c r="W59" s="1">
        <v>292436</v>
      </c>
      <c r="X59" s="4">
        <v>0.23370000000000002</v>
      </c>
      <c r="Y59" s="4">
        <v>1.8100000000000002E-2</v>
      </c>
      <c r="Z59" s="4">
        <v>3.2000000000000002E-3</v>
      </c>
      <c r="AA59" s="5">
        <v>1.0800000000000001E-8</v>
      </c>
      <c r="AB59" s="19">
        <v>261782</v>
      </c>
      <c r="AC59" s="29">
        <v>0.22159999999999999</v>
      </c>
      <c r="AD59" s="29">
        <v>1.8200000000000001E-2</v>
      </c>
      <c r="AE59" s="29">
        <v>3.3999999999999998E-3</v>
      </c>
      <c r="AF59" s="16">
        <v>8.3400000000000006E-8</v>
      </c>
      <c r="AG59" s="9"/>
      <c r="AH59" s="1">
        <v>119122</v>
      </c>
      <c r="AI59" s="4">
        <v>0.2261</v>
      </c>
      <c r="AJ59" s="4">
        <v>1.201E-2</v>
      </c>
      <c r="AK59" s="4">
        <v>4.9069999999999999E-3</v>
      </c>
      <c r="AL59" s="5">
        <v>1.44E-2</v>
      </c>
      <c r="AM59" s="14">
        <v>1.074E-2</v>
      </c>
      <c r="AN59" s="10"/>
      <c r="AO59" s="9"/>
      <c r="AP59" s="1">
        <v>12605</v>
      </c>
      <c r="AQ59" s="4">
        <v>0.22875999999999999</v>
      </c>
      <c r="AR59" s="4">
        <v>2E-3</v>
      </c>
      <c r="AS59" s="4">
        <v>1.45503E-2</v>
      </c>
      <c r="AT59" s="1">
        <v>0.89067200000000002</v>
      </c>
      <c r="AU59" s="10">
        <v>0.99853499999999995</v>
      </c>
    </row>
    <row r="60" spans="1:47" x14ac:dyDescent="0.25">
      <c r="A60" s="7" t="s">
        <v>900</v>
      </c>
      <c r="B60" s="1301"/>
      <c r="C60" s="2" t="s">
        <v>164</v>
      </c>
      <c r="D60" s="2">
        <v>16</v>
      </c>
      <c r="E60" s="2">
        <v>4445327</v>
      </c>
      <c r="F60" s="60" t="s">
        <v>949</v>
      </c>
      <c r="G60" s="2" t="s">
        <v>165</v>
      </c>
      <c r="I60" s="2" t="s">
        <v>17</v>
      </c>
      <c r="J60" s="2" t="s">
        <v>23</v>
      </c>
      <c r="K60" s="8"/>
      <c r="L60" s="1">
        <v>453078</v>
      </c>
      <c r="M60" s="4">
        <v>0.29930000000000001</v>
      </c>
      <c r="N60" s="4">
        <v>1.77E-2</v>
      </c>
      <c r="O60" s="4">
        <v>2.3999999999999998E-3</v>
      </c>
      <c r="P60" s="3">
        <v>2.1800000000000001E-13</v>
      </c>
      <c r="Q60" s="7">
        <v>418121</v>
      </c>
      <c r="R60" s="45">
        <v>0.27789999999999998</v>
      </c>
      <c r="S60" s="45">
        <v>1.7899999999999999E-2</v>
      </c>
      <c r="T60" s="45">
        <v>2.5000000000000001E-3</v>
      </c>
      <c r="U60" s="18">
        <v>3.5300000000000001E-13</v>
      </c>
      <c r="V60" s="8"/>
      <c r="W60" s="1">
        <v>321077</v>
      </c>
      <c r="X60" s="4">
        <v>0.30789999999999995</v>
      </c>
      <c r="Y60" s="4">
        <v>1.66E-2</v>
      </c>
      <c r="Z60" s="4">
        <v>2.8999999999999998E-3</v>
      </c>
      <c r="AA60" s="5">
        <v>6.8500000000000001E-9</v>
      </c>
      <c r="AB60" s="19">
        <v>286120</v>
      </c>
      <c r="AC60" s="29">
        <v>0.27679999999999999</v>
      </c>
      <c r="AD60" s="29">
        <v>1.6899999999999998E-2</v>
      </c>
      <c r="AE60" s="29">
        <v>3.0000000000000001E-3</v>
      </c>
      <c r="AF60" s="16">
        <v>2.37E-8</v>
      </c>
      <c r="AG60" s="9"/>
      <c r="AH60" s="1">
        <v>119396</v>
      </c>
      <c r="AI60" s="4">
        <v>0.28120000000000001</v>
      </c>
      <c r="AJ60" s="4">
        <v>2.1590000000000002E-2</v>
      </c>
      <c r="AK60" s="4">
        <v>4.5389999999999996E-3</v>
      </c>
      <c r="AL60" s="5">
        <v>1.9800000000000001E-6</v>
      </c>
      <c r="AM60" s="14">
        <v>0.38779999999999998</v>
      </c>
      <c r="AN60" s="10"/>
      <c r="AO60" s="9"/>
      <c r="AP60" s="1">
        <v>12605</v>
      </c>
      <c r="AQ60" s="4">
        <v>0.27088000000000001</v>
      </c>
      <c r="AR60" s="4">
        <v>5.0000000000000001E-3</v>
      </c>
      <c r="AS60" s="4">
        <v>1.42173E-2</v>
      </c>
      <c r="AT60" s="1">
        <v>0.72507500000000003</v>
      </c>
      <c r="AU60" s="10">
        <v>0.99955700000000003</v>
      </c>
    </row>
    <row r="61" spans="1:47" x14ac:dyDescent="0.25">
      <c r="A61" s="7" t="s">
        <v>900</v>
      </c>
      <c r="B61" s="1301"/>
      <c r="C61" s="2" t="s">
        <v>167</v>
      </c>
      <c r="D61" s="2">
        <v>16</v>
      </c>
      <c r="E61" s="2">
        <v>4484396</v>
      </c>
      <c r="F61" s="60" t="s">
        <v>950</v>
      </c>
      <c r="G61" s="2" t="s">
        <v>168</v>
      </c>
      <c r="I61" s="2" t="s">
        <v>16</v>
      </c>
      <c r="J61" s="2" t="s">
        <v>23</v>
      </c>
      <c r="K61" s="8"/>
      <c r="L61" s="1">
        <v>434331</v>
      </c>
      <c r="M61" s="4">
        <v>0.28410000000000002</v>
      </c>
      <c r="N61" s="4">
        <v>1.5100000000000001E-2</v>
      </c>
      <c r="O61" s="4">
        <v>2.3999999999999998E-3</v>
      </c>
      <c r="P61" s="3">
        <v>4.3200000000000001E-10</v>
      </c>
      <c r="Q61" s="7">
        <v>399374</v>
      </c>
      <c r="R61" s="45">
        <v>0.2762</v>
      </c>
      <c r="S61" s="45">
        <v>1.6299999999999999E-2</v>
      </c>
      <c r="T61" s="45">
        <v>2.5000000000000001E-3</v>
      </c>
      <c r="U61" s="18">
        <v>1.26E-10</v>
      </c>
      <c r="V61" s="8"/>
      <c r="W61" s="1">
        <v>302426</v>
      </c>
      <c r="X61" s="4">
        <v>0.28700000000000003</v>
      </c>
      <c r="Y61" s="4">
        <v>1.3899999999999999E-2</v>
      </c>
      <c r="Z61" s="4">
        <v>2.8999999999999998E-3</v>
      </c>
      <c r="AA61" s="5">
        <v>1.8700000000000001E-6</v>
      </c>
      <c r="AB61" s="19">
        <v>267469</v>
      </c>
      <c r="AC61" s="29">
        <v>0.27550000000000002</v>
      </c>
      <c r="AD61" s="29">
        <v>1.55E-2</v>
      </c>
      <c r="AE61" s="29">
        <v>3.0999999999999999E-3</v>
      </c>
      <c r="AF61" s="16">
        <v>8.7400000000000002E-7</v>
      </c>
      <c r="AG61" s="9"/>
      <c r="AH61" s="1">
        <v>119300</v>
      </c>
      <c r="AI61" s="4">
        <v>0.27910000000000001</v>
      </c>
      <c r="AJ61" s="4">
        <v>1.9040000000000001E-2</v>
      </c>
      <c r="AK61" s="4">
        <v>4.561E-3</v>
      </c>
      <c r="AL61" s="5">
        <v>3.0000000000000001E-5</v>
      </c>
      <c r="AM61" s="14">
        <v>0.3548</v>
      </c>
      <c r="AN61" s="10"/>
      <c r="AO61" s="9"/>
      <c r="AP61" s="1">
        <v>12605</v>
      </c>
      <c r="AQ61" s="4">
        <v>0.25802000000000003</v>
      </c>
      <c r="AR61" s="4">
        <v>3.0000000000000001E-3</v>
      </c>
      <c r="AS61" s="4">
        <v>1.6244100000000001E-2</v>
      </c>
      <c r="AT61" s="1">
        <v>0.85347799999999996</v>
      </c>
      <c r="AU61" s="10">
        <v>0.99996099999999999</v>
      </c>
    </row>
    <row r="62" spans="1:47" x14ac:dyDescent="0.25">
      <c r="A62" s="7" t="s">
        <v>905</v>
      </c>
      <c r="B62" s="904">
        <v>41</v>
      </c>
      <c r="C62" s="2" t="s">
        <v>951</v>
      </c>
      <c r="D62" s="2">
        <v>16</v>
      </c>
      <c r="E62" s="2">
        <v>14041570</v>
      </c>
      <c r="F62" s="60" t="s">
        <v>952</v>
      </c>
      <c r="G62" s="2" t="s">
        <v>953</v>
      </c>
      <c r="I62" s="2" t="s">
        <v>23</v>
      </c>
      <c r="J62" s="2" t="s">
        <v>17</v>
      </c>
      <c r="K62" s="8"/>
      <c r="L62" s="1">
        <v>467197</v>
      </c>
      <c r="M62" s="4">
        <v>0.99580000000000002</v>
      </c>
      <c r="N62" s="4">
        <v>8.5599999999999996E-2</v>
      </c>
      <c r="O62" s="4">
        <v>9.5100000000000004E-2</v>
      </c>
      <c r="P62" s="3">
        <v>0.36809999999999998</v>
      </c>
      <c r="Q62" s="7">
        <v>411320</v>
      </c>
      <c r="R62" s="45">
        <v>0.99580000000000002</v>
      </c>
      <c r="S62" s="45">
        <v>8.5599999999999996E-2</v>
      </c>
      <c r="T62" s="45">
        <v>9.5100000000000004E-2</v>
      </c>
      <c r="U62" s="18">
        <v>0.36799999999999999</v>
      </c>
      <c r="V62" s="8"/>
      <c r="W62" s="1">
        <v>335174</v>
      </c>
      <c r="X62" s="4">
        <v>0.99970000000000003</v>
      </c>
      <c r="Y62" s="4">
        <v>2.9590000000000001</v>
      </c>
      <c r="Z62" s="4">
        <v>0.57479999999999998</v>
      </c>
      <c r="AA62" s="5">
        <v>2.6399999999999998E-7</v>
      </c>
      <c r="AB62" s="19">
        <v>279297</v>
      </c>
      <c r="AC62" s="29">
        <v>0.99960000000000004</v>
      </c>
      <c r="AD62" s="29">
        <v>2.9590000000000001</v>
      </c>
      <c r="AE62" s="29">
        <v>0.57499999999999996</v>
      </c>
      <c r="AF62" s="16">
        <v>2.6399999999999998E-7</v>
      </c>
      <c r="AG62" s="9"/>
      <c r="AH62" s="1">
        <v>119418</v>
      </c>
      <c r="AI62" s="4">
        <v>0.99682000000000004</v>
      </c>
      <c r="AJ62" s="4">
        <v>8.1180000000000002E-2</v>
      </c>
      <c r="AK62" s="4">
        <v>0.70589999999999997</v>
      </c>
      <c r="AL62" s="5">
        <v>0.90900000000000003</v>
      </c>
      <c r="AM62" s="14">
        <v>0.34229999999999999</v>
      </c>
      <c r="AN62" s="10"/>
      <c r="AO62" s="9"/>
      <c r="AP62" s="1">
        <v>12605</v>
      </c>
      <c r="AQ62" s="4">
        <v>0.99568000000000001</v>
      </c>
      <c r="AR62" s="4">
        <v>-0.17599999999999999</v>
      </c>
      <c r="AS62" s="4">
        <v>9.7310099999999997E-2</v>
      </c>
      <c r="AT62" s="1">
        <v>7.0505300000000007E-2</v>
      </c>
      <c r="AU62" s="10">
        <v>0.99627600000000005</v>
      </c>
    </row>
    <row r="63" spans="1:47" x14ac:dyDescent="0.25">
      <c r="A63" s="7" t="s">
        <v>900</v>
      </c>
      <c r="B63" s="1301">
        <v>42</v>
      </c>
      <c r="C63" s="2" t="s">
        <v>170</v>
      </c>
      <c r="D63" s="2">
        <v>16</v>
      </c>
      <c r="E63" s="2">
        <v>67397580</v>
      </c>
      <c r="F63" s="1303" t="s">
        <v>171</v>
      </c>
      <c r="G63" s="2" t="s">
        <v>172</v>
      </c>
      <c r="H63" s="1235" t="s">
        <v>173</v>
      </c>
      <c r="I63" s="2" t="s">
        <v>24</v>
      </c>
      <c r="J63" s="2" t="s">
        <v>17</v>
      </c>
      <c r="K63" s="8"/>
      <c r="L63" s="1">
        <v>469474</v>
      </c>
      <c r="M63" s="4">
        <v>0.93830000000000002</v>
      </c>
      <c r="N63" s="4">
        <v>3.4099999999999998E-2</v>
      </c>
      <c r="O63" s="4">
        <v>4.7000000000000002E-3</v>
      </c>
      <c r="P63" s="3">
        <v>3.8299999999999998E-13</v>
      </c>
      <c r="Q63" s="7">
        <v>413597</v>
      </c>
      <c r="R63" s="45">
        <v>0.95630000000000004</v>
      </c>
      <c r="S63" s="45">
        <v>3.61E-2</v>
      </c>
      <c r="T63" s="45">
        <v>5.4999999999999997E-3</v>
      </c>
      <c r="U63" s="18">
        <v>4.4699999999999998E-11</v>
      </c>
      <c r="V63" s="8"/>
      <c r="W63" s="1">
        <v>337478</v>
      </c>
      <c r="X63" s="4">
        <v>0.9325</v>
      </c>
      <c r="Y63" s="4">
        <v>2.9899999999999999E-2</v>
      </c>
      <c r="Z63" s="4">
        <v>5.4000000000000003E-3</v>
      </c>
      <c r="AA63" s="5">
        <v>2.7800000000000001E-8</v>
      </c>
      <c r="AB63" s="19">
        <v>281601</v>
      </c>
      <c r="AC63" s="29">
        <v>0.95630000000000004</v>
      </c>
      <c r="AD63" s="29">
        <v>3.0599999999999999E-2</v>
      </c>
      <c r="AE63" s="29">
        <v>6.7000000000000002E-3</v>
      </c>
      <c r="AF63" s="16">
        <v>4.8099999999999997E-6</v>
      </c>
      <c r="AG63" s="9"/>
      <c r="AH63" s="1">
        <v>119391</v>
      </c>
      <c r="AI63" s="4">
        <v>0.95623000000000002</v>
      </c>
      <c r="AJ63" s="4">
        <v>4.4810000000000003E-2</v>
      </c>
      <c r="AK63" s="4">
        <v>0.01</v>
      </c>
      <c r="AL63" s="5">
        <v>7.4800000000000004E-6</v>
      </c>
      <c r="AM63" s="14">
        <v>0.28510000000000002</v>
      </c>
      <c r="AN63" s="10"/>
      <c r="AO63" s="9"/>
      <c r="AP63" s="1">
        <v>12605</v>
      </c>
      <c r="AQ63" s="4">
        <v>0.95867999999999998</v>
      </c>
      <c r="AR63" s="4">
        <v>7.3999999999999996E-2</v>
      </c>
      <c r="AS63" s="4">
        <v>3.2220400000000003E-2</v>
      </c>
      <c r="AT63" s="1">
        <v>2.1637099999999999E-2</v>
      </c>
      <c r="AU63" s="10">
        <v>0.99928899999999998</v>
      </c>
    </row>
    <row r="64" spans="1:47" x14ac:dyDescent="0.25">
      <c r="A64" s="7" t="s">
        <v>900</v>
      </c>
      <c r="B64" s="1301"/>
      <c r="C64" s="2" t="s">
        <v>175</v>
      </c>
      <c r="D64" s="2">
        <v>16</v>
      </c>
      <c r="E64" s="2">
        <v>67409180</v>
      </c>
      <c r="F64" s="1303"/>
      <c r="G64" s="2" t="s">
        <v>176</v>
      </c>
      <c r="H64" s="1233"/>
      <c r="I64" s="2" t="s">
        <v>24</v>
      </c>
      <c r="J64" s="2" t="s">
        <v>16</v>
      </c>
      <c r="K64" s="8"/>
      <c r="L64" s="1">
        <v>474035</v>
      </c>
      <c r="M64" s="4">
        <v>0.93869999999999998</v>
      </c>
      <c r="N64" s="4">
        <v>3.39E-2</v>
      </c>
      <c r="O64" s="4">
        <v>4.7000000000000002E-3</v>
      </c>
      <c r="P64" s="3">
        <v>5.4999999999999998E-13</v>
      </c>
      <c r="Q64" s="7">
        <v>418158</v>
      </c>
      <c r="R64" s="45">
        <v>0.95660000000000001</v>
      </c>
      <c r="S64" s="45">
        <v>3.5499999999999997E-2</v>
      </c>
      <c r="T64" s="45">
        <v>5.4000000000000003E-3</v>
      </c>
      <c r="U64" s="18">
        <v>6.9400000000000001E-11</v>
      </c>
      <c r="V64" s="8"/>
      <c r="W64" s="1">
        <v>341997</v>
      </c>
      <c r="X64" s="4">
        <v>0.93300000000000005</v>
      </c>
      <c r="Y64" s="4">
        <v>0.03</v>
      </c>
      <c r="Z64" s="4">
        <v>5.4000000000000003E-3</v>
      </c>
      <c r="AA64" s="5">
        <v>2.3199999999999999E-8</v>
      </c>
      <c r="AB64" s="19">
        <v>286120</v>
      </c>
      <c r="AC64" s="29">
        <v>0.95650000000000002</v>
      </c>
      <c r="AD64" s="29">
        <v>3.0300000000000001E-2</v>
      </c>
      <c r="AE64" s="29">
        <v>6.6E-3</v>
      </c>
      <c r="AF64" s="16">
        <v>5.3399999999999997E-6</v>
      </c>
      <c r="AG64" s="9"/>
      <c r="AH64" s="1">
        <v>119433</v>
      </c>
      <c r="AI64" s="4">
        <v>0.95638999999999996</v>
      </c>
      <c r="AJ64" s="4">
        <v>4.3139999999999998E-2</v>
      </c>
      <c r="AK64" s="4">
        <v>1.0019999999999999E-2</v>
      </c>
      <c r="AL64" s="5">
        <v>1.66E-5</v>
      </c>
      <c r="AM64" s="14">
        <v>0.33279999999999998</v>
      </c>
      <c r="AN64" s="10"/>
      <c r="AO64" s="9"/>
      <c r="AP64" s="1">
        <v>12605</v>
      </c>
      <c r="AQ64" s="4">
        <v>0.96040999999999999</v>
      </c>
      <c r="AR64" s="4">
        <v>8.1000000000000003E-2</v>
      </c>
      <c r="AS64" s="4">
        <v>3.2995700000000003E-2</v>
      </c>
      <c r="AT64" s="1">
        <v>1.40938E-2</v>
      </c>
      <c r="AU64" s="10">
        <v>0.99997899999999995</v>
      </c>
    </row>
    <row r="65" spans="1:104" x14ac:dyDescent="0.25">
      <c r="A65" s="7" t="s">
        <v>905</v>
      </c>
      <c r="B65" s="904">
        <v>43</v>
      </c>
      <c r="C65" s="2" t="s">
        <v>205</v>
      </c>
      <c r="D65" s="2">
        <v>17</v>
      </c>
      <c r="E65" s="2">
        <v>17425631</v>
      </c>
      <c r="F65" s="60" t="s">
        <v>206</v>
      </c>
      <c r="G65" s="2" t="s">
        <v>207</v>
      </c>
      <c r="H65" s="889" t="s">
        <v>208</v>
      </c>
      <c r="I65" s="2" t="s">
        <v>17</v>
      </c>
      <c r="J65" s="2" t="s">
        <v>23</v>
      </c>
      <c r="K65" s="8"/>
      <c r="L65" s="1">
        <v>476546</v>
      </c>
      <c r="M65" s="4">
        <v>0.56859999999999999</v>
      </c>
      <c r="N65" s="4">
        <v>2.5000000000000001E-2</v>
      </c>
      <c r="O65" s="4">
        <v>3.8E-3</v>
      </c>
      <c r="P65" s="3">
        <v>4.0699999999999999E-11</v>
      </c>
      <c r="Q65" s="7">
        <v>420669</v>
      </c>
      <c r="R65" s="45">
        <v>0.53820000000000001</v>
      </c>
      <c r="S65" s="45">
        <v>2.58E-2</v>
      </c>
      <c r="T65" s="45">
        <v>4.0000000000000001E-3</v>
      </c>
      <c r="U65" s="18">
        <v>1.0999999999999999E-10</v>
      </c>
      <c r="V65" s="8"/>
      <c r="W65" s="1">
        <v>344369</v>
      </c>
      <c r="X65" s="4">
        <v>0.5877</v>
      </c>
      <c r="Y65" s="4">
        <v>2.18E-2</v>
      </c>
      <c r="Z65" s="4">
        <v>4.5999999999999999E-3</v>
      </c>
      <c r="AA65" s="5">
        <v>1.7600000000000001E-6</v>
      </c>
      <c r="AB65" s="19">
        <v>288492</v>
      </c>
      <c r="AC65" s="29">
        <v>0.54349999999999998</v>
      </c>
      <c r="AD65" s="29">
        <v>2.2499999999999999E-2</v>
      </c>
      <c r="AE65" s="29">
        <v>5.0000000000000001E-3</v>
      </c>
      <c r="AF65" s="16">
        <v>1.2699999999999999E-6</v>
      </c>
      <c r="AG65" s="9"/>
      <c r="AH65" s="1">
        <v>119572</v>
      </c>
      <c r="AI65" s="4">
        <v>0.52342</v>
      </c>
      <c r="AJ65" s="4">
        <v>3.2733600000000002E-2</v>
      </c>
      <c r="AK65" s="4">
        <v>6.9043000000000004E-3</v>
      </c>
      <c r="AL65" s="5">
        <v>2.1299999999999999E-6</v>
      </c>
      <c r="AM65" s="14">
        <v>2.869E-2</v>
      </c>
      <c r="AN65" s="10"/>
      <c r="AO65" s="9"/>
      <c r="AP65" s="1">
        <v>12605</v>
      </c>
      <c r="AQ65" s="4">
        <v>0.59602999999999995</v>
      </c>
      <c r="AR65" s="4">
        <v>1.7000000000000001E-2</v>
      </c>
      <c r="AS65" s="4">
        <v>2.4269700000000002E-2</v>
      </c>
      <c r="AT65" s="1">
        <v>0.48363899999999999</v>
      </c>
      <c r="AU65" s="10">
        <v>0.99684700000000004</v>
      </c>
    </row>
    <row r="66" spans="1:104" ht="15.75" x14ac:dyDescent="0.25">
      <c r="A66" s="7" t="s">
        <v>900</v>
      </c>
      <c r="B66" s="904">
        <v>44</v>
      </c>
      <c r="C66" s="2" t="s">
        <v>954</v>
      </c>
      <c r="D66" s="2">
        <v>19</v>
      </c>
      <c r="E66" s="2">
        <v>422171</v>
      </c>
      <c r="F66" s="60" t="s">
        <v>955</v>
      </c>
      <c r="G66" s="2" t="s">
        <v>956</v>
      </c>
      <c r="I66" s="2" t="s">
        <v>17</v>
      </c>
      <c r="J66" s="2" t="s">
        <v>16</v>
      </c>
      <c r="K66" s="8"/>
      <c r="L66" s="1">
        <v>182165</v>
      </c>
      <c r="M66" s="12">
        <v>7.7670652664013401E-4</v>
      </c>
      <c r="N66" s="12">
        <v>0.29095729602338599</v>
      </c>
      <c r="O66" s="4">
        <v>0.06</v>
      </c>
      <c r="P66" s="3">
        <v>1.2300000000000001E-6</v>
      </c>
      <c r="Q66" s="7">
        <v>139219</v>
      </c>
      <c r="R66" s="45">
        <v>1E-3</v>
      </c>
      <c r="S66" s="45">
        <v>0.29449999999999998</v>
      </c>
      <c r="T66" s="45">
        <v>6.0199999999999997E-2</v>
      </c>
      <c r="U66" s="18">
        <v>9.9800000000000002E-7</v>
      </c>
      <c r="V66" s="8"/>
      <c r="W66" s="1">
        <v>182165</v>
      </c>
      <c r="X66" s="12">
        <v>7.7670652664013401E-4</v>
      </c>
      <c r="Y66" s="12">
        <v>0.29095729602338599</v>
      </c>
      <c r="Z66" s="4">
        <v>0.06</v>
      </c>
      <c r="AA66" s="5">
        <v>1.2300000000000001E-6</v>
      </c>
      <c r="AB66" s="19">
        <v>139219</v>
      </c>
      <c r="AC66" s="29">
        <v>1E-3</v>
      </c>
      <c r="AD66" s="29">
        <v>0.29449999999999998</v>
      </c>
      <c r="AE66" s="29">
        <v>6.0199999999999997E-2</v>
      </c>
      <c r="AF66" s="16">
        <v>9.9800000000000002E-7</v>
      </c>
      <c r="AG66" s="9"/>
      <c r="AH66" s="1"/>
      <c r="AI66" s="4"/>
      <c r="AJ66" s="4"/>
      <c r="AK66" s="4"/>
      <c r="AL66" s="1"/>
      <c r="AM66" s="14"/>
      <c r="AN66" s="10"/>
      <c r="AO66" s="9"/>
      <c r="AP66" s="1"/>
      <c r="AQ66" s="4"/>
      <c r="AR66" s="4"/>
      <c r="AS66" s="4"/>
      <c r="AT66" s="1"/>
      <c r="AU66" s="10"/>
    </row>
    <row r="67" spans="1:104" s="14" customFormat="1" x14ac:dyDescent="0.25">
      <c r="A67" s="7" t="s">
        <v>900</v>
      </c>
      <c r="B67" s="904">
        <v>45</v>
      </c>
      <c r="C67" s="2" t="s">
        <v>261</v>
      </c>
      <c r="D67" s="2">
        <v>19</v>
      </c>
      <c r="E67" s="2">
        <v>8429323</v>
      </c>
      <c r="F67" s="60" t="s">
        <v>262</v>
      </c>
      <c r="G67" s="2" t="s">
        <v>263</v>
      </c>
      <c r="H67" s="2"/>
      <c r="I67" s="2" t="s">
        <v>24</v>
      </c>
      <c r="J67" s="2" t="s">
        <v>16</v>
      </c>
      <c r="K67" s="8"/>
      <c r="L67" s="1">
        <v>446096</v>
      </c>
      <c r="M67" s="4">
        <v>0.98080000000000001</v>
      </c>
      <c r="N67" s="4">
        <v>2.8799999999999999E-2</v>
      </c>
      <c r="O67" s="4">
        <v>7.7999999999999996E-3</v>
      </c>
      <c r="P67" s="18">
        <v>2.2029999999999999E-4</v>
      </c>
      <c r="Q67" s="7">
        <v>412583</v>
      </c>
      <c r="R67" s="45">
        <v>0.97940000000000005</v>
      </c>
      <c r="S67" s="45">
        <v>2.9499999999999998E-2</v>
      </c>
      <c r="T67" s="45">
        <v>7.7999999999999996E-3</v>
      </c>
      <c r="U67" s="18">
        <v>1.4899999999999999E-4</v>
      </c>
      <c r="V67" s="8"/>
      <c r="W67" s="1">
        <v>314046</v>
      </c>
      <c r="X67" s="4">
        <v>0.98099999999999998</v>
      </c>
      <c r="Y67" s="4">
        <v>2.7900000000000001E-2</v>
      </c>
      <c r="Z67" s="4">
        <v>9.2999999999999992E-3</v>
      </c>
      <c r="AA67" s="5">
        <v>2.63E-3</v>
      </c>
      <c r="AB67" s="19">
        <v>280533</v>
      </c>
      <c r="AC67" s="29">
        <v>0.97899999999999998</v>
      </c>
      <c r="AD67" s="29">
        <v>2.9000000000000001E-2</v>
      </c>
      <c r="AE67" s="29">
        <v>9.2999999999999992E-3</v>
      </c>
      <c r="AF67" s="16">
        <v>1.91E-3</v>
      </c>
      <c r="AG67" s="9"/>
      <c r="AH67" s="1">
        <v>119445</v>
      </c>
      <c r="AI67" s="4">
        <v>0.98082999999999998</v>
      </c>
      <c r="AJ67" s="4">
        <v>3.1820000000000001E-2</v>
      </c>
      <c r="AK67" s="4">
        <v>1.498E-2</v>
      </c>
      <c r="AL67" s="5">
        <v>3.3700000000000001E-2</v>
      </c>
      <c r="AM67" s="14">
        <v>5.9500000000000003E-5</v>
      </c>
      <c r="AN67" s="10"/>
      <c r="AO67" s="9"/>
      <c r="AP67" s="1">
        <v>12605</v>
      </c>
      <c r="AQ67" s="4">
        <v>0.97570000000000001</v>
      </c>
      <c r="AR67" s="4">
        <v>2.1000000000000001E-2</v>
      </c>
      <c r="AS67" s="4">
        <v>4.5028400000000003E-2</v>
      </c>
      <c r="AT67" s="1">
        <v>0.64094899999999999</v>
      </c>
      <c r="AU67" s="10">
        <v>0.99202599999999996</v>
      </c>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row>
    <row r="68" spans="1:104" x14ac:dyDescent="0.25">
      <c r="A68" s="7" t="s">
        <v>900</v>
      </c>
      <c r="B68" s="1301">
        <v>46</v>
      </c>
      <c r="C68" s="2" t="s">
        <v>178</v>
      </c>
      <c r="D68" s="2">
        <v>19</v>
      </c>
      <c r="E68" s="2">
        <v>18285944</v>
      </c>
      <c r="F68" s="60" t="s">
        <v>957</v>
      </c>
      <c r="G68" s="2" t="s">
        <v>179</v>
      </c>
      <c r="H68" s="1233" t="s">
        <v>180</v>
      </c>
      <c r="I68" s="2" t="s">
        <v>16</v>
      </c>
      <c r="J68" s="2" t="s">
        <v>24</v>
      </c>
      <c r="K68" s="8"/>
      <c r="L68" s="1">
        <v>476389</v>
      </c>
      <c r="M68" s="4">
        <v>0.2571</v>
      </c>
      <c r="N68" s="4">
        <v>1.52E-2</v>
      </c>
      <c r="O68" s="4">
        <v>2.3999999999999998E-3</v>
      </c>
      <c r="P68" s="3">
        <v>3.4599999999999999E-10</v>
      </c>
      <c r="Q68" s="7">
        <v>420512</v>
      </c>
      <c r="R68" s="45">
        <v>0.26550000000000001</v>
      </c>
      <c r="S68" s="45">
        <v>1.5699999999999999E-2</v>
      </c>
      <c r="T68" s="45">
        <v>2.5000000000000001E-3</v>
      </c>
      <c r="U68" s="18">
        <v>5.8900000000000003E-10</v>
      </c>
      <c r="V68" s="8"/>
      <c r="W68" s="1">
        <v>344369</v>
      </c>
      <c r="X68" s="4">
        <v>0.25280000000000002</v>
      </c>
      <c r="Y68" s="4">
        <v>1.49E-2</v>
      </c>
      <c r="Z68" s="4">
        <v>2.8999999999999998E-3</v>
      </c>
      <c r="AA68" s="5">
        <v>2.2600000000000001E-7</v>
      </c>
      <c r="AB68" s="19">
        <v>288492</v>
      </c>
      <c r="AC68" s="29">
        <v>0.26469999999999999</v>
      </c>
      <c r="AD68" s="29">
        <v>1.5599999999999999E-2</v>
      </c>
      <c r="AE68" s="29">
        <v>3.0999999999999999E-3</v>
      </c>
      <c r="AF68" s="16">
        <v>4.7E-7</v>
      </c>
      <c r="AG68" s="9"/>
      <c r="AH68" s="1">
        <v>119415</v>
      </c>
      <c r="AI68" s="4">
        <v>0.26950000000000002</v>
      </c>
      <c r="AJ68" s="4">
        <v>1.491E-2</v>
      </c>
      <c r="AK68" s="4">
        <v>4.6010000000000001E-3</v>
      </c>
      <c r="AL68" s="5">
        <v>1.1900000000000001E-3</v>
      </c>
      <c r="AM68" s="14">
        <v>0.70320000000000005</v>
      </c>
      <c r="AN68" s="10"/>
      <c r="AO68" s="9"/>
      <c r="AP68" s="1">
        <v>12605</v>
      </c>
      <c r="AQ68" s="4">
        <v>0.23957999999999999</v>
      </c>
      <c r="AR68" s="4">
        <v>2.8000000000000001E-2</v>
      </c>
      <c r="AS68" s="4">
        <v>1.5709299999999999E-2</v>
      </c>
      <c r="AT68" s="1">
        <v>7.4686600000000006E-2</v>
      </c>
      <c r="AU68" s="10">
        <v>0.99893299999999996</v>
      </c>
    </row>
    <row r="69" spans="1:104" x14ac:dyDescent="0.25">
      <c r="A69" s="7" t="s">
        <v>900</v>
      </c>
      <c r="B69" s="1301"/>
      <c r="C69" s="2" t="s">
        <v>182</v>
      </c>
      <c r="D69" s="2">
        <v>19</v>
      </c>
      <c r="E69" s="2">
        <v>18304700</v>
      </c>
      <c r="F69" s="60" t="s">
        <v>958</v>
      </c>
      <c r="G69" s="2" t="s">
        <v>183</v>
      </c>
      <c r="H69" s="1233"/>
      <c r="I69" s="2" t="s">
        <v>24</v>
      </c>
      <c r="J69" s="2" t="s">
        <v>16</v>
      </c>
      <c r="K69" s="8"/>
      <c r="L69" s="1">
        <v>476388</v>
      </c>
      <c r="M69" s="4">
        <v>0.2707</v>
      </c>
      <c r="N69" s="4">
        <v>1.52E-2</v>
      </c>
      <c r="O69" s="4">
        <v>2.3999999999999998E-3</v>
      </c>
      <c r="P69" s="3">
        <v>1.16E-10</v>
      </c>
      <c r="Q69" s="7">
        <v>420511</v>
      </c>
      <c r="R69" s="45">
        <v>0.28179999999999999</v>
      </c>
      <c r="S69" s="45">
        <v>1.5599999999999999E-2</v>
      </c>
      <c r="T69" s="45">
        <v>2.5000000000000001E-3</v>
      </c>
      <c r="U69" s="18">
        <v>2.6400000000000002E-10</v>
      </c>
      <c r="V69" s="8"/>
      <c r="W69" s="1">
        <v>344369</v>
      </c>
      <c r="X69" s="4">
        <v>0.26579999999999998</v>
      </c>
      <c r="Y69" s="4">
        <v>1.5599999999999999E-2</v>
      </c>
      <c r="Z69" s="4">
        <v>2.8E-3</v>
      </c>
      <c r="AA69" s="5">
        <v>3.6400000000000002E-8</v>
      </c>
      <c r="AB69" s="19">
        <v>288492</v>
      </c>
      <c r="AC69" s="29">
        <v>0.28139999999999998</v>
      </c>
      <c r="AD69" s="29">
        <v>1.6299999999999999E-2</v>
      </c>
      <c r="AE69" s="29">
        <v>3.0000000000000001E-3</v>
      </c>
      <c r="AF69" s="16">
        <v>8.8199999999999996E-8</v>
      </c>
      <c r="AG69" s="9"/>
      <c r="AH69" s="1">
        <v>119414</v>
      </c>
      <c r="AI69" s="4">
        <v>0.2858</v>
      </c>
      <c r="AJ69" s="4">
        <v>1.319E-2</v>
      </c>
      <c r="AK69" s="4">
        <v>4.5240000000000002E-3</v>
      </c>
      <c r="AL69" s="5">
        <v>3.5500000000000002E-3</v>
      </c>
      <c r="AM69" s="14">
        <v>0.79920000000000002</v>
      </c>
      <c r="AN69" s="10" t="s">
        <v>1</v>
      </c>
      <c r="AO69" s="9"/>
      <c r="AP69" s="1">
        <v>12605</v>
      </c>
      <c r="AQ69" s="4">
        <v>0.24684</v>
      </c>
      <c r="AR69" s="4">
        <v>2.4E-2</v>
      </c>
      <c r="AS69" s="4">
        <v>1.5026899999999999E-2</v>
      </c>
      <c r="AT69" s="1">
        <v>0.110236</v>
      </c>
      <c r="AU69" s="10">
        <v>0.99922999999999995</v>
      </c>
    </row>
    <row r="70" spans="1:104" x14ac:dyDescent="0.25">
      <c r="A70" s="7" t="s">
        <v>900</v>
      </c>
      <c r="B70" s="1301">
        <v>47</v>
      </c>
      <c r="C70" s="2" t="s">
        <v>185</v>
      </c>
      <c r="D70" s="2">
        <v>19</v>
      </c>
      <c r="E70" s="2">
        <v>49232226</v>
      </c>
      <c r="F70" s="60" t="s">
        <v>186</v>
      </c>
      <c r="G70" s="2" t="s">
        <v>187</v>
      </c>
      <c r="I70" s="2" t="s">
        <v>16</v>
      </c>
      <c r="J70" s="2" t="s">
        <v>24</v>
      </c>
      <c r="K70" s="8"/>
      <c r="L70" s="1">
        <v>430272</v>
      </c>
      <c r="M70" s="4">
        <v>0.49430000000000002</v>
      </c>
      <c r="N70" s="4">
        <v>1.38E-2</v>
      </c>
      <c r="O70" s="4">
        <v>2.3E-3</v>
      </c>
      <c r="P70" s="3">
        <v>1.6399999999999999E-9</v>
      </c>
      <c r="Q70" s="7">
        <v>401959</v>
      </c>
      <c r="R70" s="45">
        <v>0.51339999999999997</v>
      </c>
      <c r="S70" s="45">
        <v>1.32E-2</v>
      </c>
      <c r="T70" s="45">
        <v>2.3E-3</v>
      </c>
      <c r="U70" s="18">
        <v>1.4999999999999999E-8</v>
      </c>
      <c r="V70" s="8"/>
      <c r="W70" s="1">
        <v>298632</v>
      </c>
      <c r="X70" s="4">
        <v>0.47010000000000002</v>
      </c>
      <c r="Y70" s="4">
        <v>1.5599999999999999E-2</v>
      </c>
      <c r="Z70" s="4">
        <v>2.8E-3</v>
      </c>
      <c r="AA70" s="5">
        <v>1.74E-8</v>
      </c>
      <c r="AB70" s="19">
        <v>270319</v>
      </c>
      <c r="AC70" s="29">
        <v>0.49780000000000002</v>
      </c>
      <c r="AD70" s="29">
        <v>1.49E-2</v>
      </c>
      <c r="AE70" s="29">
        <v>2.8999999999999998E-3</v>
      </c>
      <c r="AF70" s="16">
        <v>2.1E-7</v>
      </c>
      <c r="AG70" s="9"/>
      <c r="AH70" s="1">
        <v>119035</v>
      </c>
      <c r="AI70" s="4">
        <v>0.53600000000000003</v>
      </c>
      <c r="AJ70" s="4">
        <v>1.2160000000000001E-2</v>
      </c>
      <c r="AK70" s="4">
        <v>4.1110000000000001E-3</v>
      </c>
      <c r="AL70" s="5">
        <v>3.1099999999999999E-3</v>
      </c>
      <c r="AM70" s="14">
        <v>0.17580000000000001</v>
      </c>
      <c r="AN70" s="10" t="s">
        <v>1</v>
      </c>
      <c r="AO70" s="9"/>
      <c r="AP70" s="1">
        <v>12605</v>
      </c>
      <c r="AQ70" s="4">
        <v>0.60792999999999997</v>
      </c>
      <c r="AR70" s="4">
        <v>-1.2E-2</v>
      </c>
      <c r="AS70" s="4">
        <v>1.35145E-2</v>
      </c>
      <c r="AT70" s="1">
        <v>0.37457400000000002</v>
      </c>
      <c r="AU70" s="10">
        <v>0.99923300000000004</v>
      </c>
    </row>
    <row r="71" spans="1:104" x14ac:dyDescent="0.25">
      <c r="A71" s="7" t="s">
        <v>900</v>
      </c>
      <c r="B71" s="1301"/>
      <c r="C71" s="14" t="s">
        <v>189</v>
      </c>
      <c r="D71" s="14">
        <v>19</v>
      </c>
      <c r="E71" s="14">
        <v>49244220</v>
      </c>
      <c r="F71" s="199" t="s">
        <v>190</v>
      </c>
      <c r="G71" s="2" t="s">
        <v>191</v>
      </c>
      <c r="H71" s="14"/>
      <c r="I71" s="14" t="s">
        <v>24</v>
      </c>
      <c r="J71" s="14" t="s">
        <v>16</v>
      </c>
      <c r="K71" s="8"/>
      <c r="L71" s="177">
        <v>476147</v>
      </c>
      <c r="M71" s="29">
        <v>0.55769999999999997</v>
      </c>
      <c r="N71" s="29">
        <v>1.15E-2</v>
      </c>
      <c r="O71" s="29">
        <v>2.0999999999999999E-3</v>
      </c>
      <c r="P71" s="18">
        <v>4.66E-8</v>
      </c>
      <c r="Q71" s="7">
        <v>420270</v>
      </c>
      <c r="R71" s="45">
        <v>0.56279999999999997</v>
      </c>
      <c r="S71" s="45">
        <v>1.2500000000000001E-2</v>
      </c>
      <c r="T71" s="45">
        <v>2.2000000000000001E-3</v>
      </c>
      <c r="U71" s="18">
        <v>1.8200000000000001E-8</v>
      </c>
      <c r="V71" s="8"/>
      <c r="W71" s="177">
        <v>344369</v>
      </c>
      <c r="X71" s="29">
        <v>0.55059999999999998</v>
      </c>
      <c r="Y71" s="29">
        <v>1.17E-2</v>
      </c>
      <c r="Z71" s="29">
        <v>2.5000000000000001E-3</v>
      </c>
      <c r="AA71" s="16">
        <v>3.5599999999999998E-6</v>
      </c>
      <c r="AB71" s="19">
        <v>288492</v>
      </c>
      <c r="AC71" s="29">
        <v>0.55689999999999995</v>
      </c>
      <c r="AD71" s="29">
        <v>1.32E-2</v>
      </c>
      <c r="AE71" s="29">
        <v>2.7000000000000001E-3</v>
      </c>
      <c r="AF71" s="16">
        <v>1.68E-6</v>
      </c>
      <c r="AG71" s="8"/>
      <c r="AH71" s="177">
        <v>119173</v>
      </c>
      <c r="AI71" s="29">
        <v>0.57179999999999997</v>
      </c>
      <c r="AJ71" s="29">
        <v>1.153E-2</v>
      </c>
      <c r="AK71" s="29">
        <v>4.1320000000000003E-3</v>
      </c>
      <c r="AL71" s="16">
        <v>5.2500000000000003E-3</v>
      </c>
      <c r="AM71" s="14">
        <v>0.88280000000000003</v>
      </c>
      <c r="AN71" s="10" t="s">
        <v>1</v>
      </c>
      <c r="AO71" s="8"/>
      <c r="AP71" s="177">
        <v>12605</v>
      </c>
      <c r="AQ71" s="29">
        <v>0.60945000000000005</v>
      </c>
      <c r="AR71" s="29">
        <v>7.0000000000000001E-3</v>
      </c>
      <c r="AS71" s="29">
        <v>1.30391E-2</v>
      </c>
      <c r="AT71" s="177">
        <v>0.59137200000000001</v>
      </c>
      <c r="AU71" s="10">
        <v>0.99987099999999995</v>
      </c>
    </row>
    <row r="72" spans="1:104" x14ac:dyDescent="0.25">
      <c r="A72" s="7" t="s">
        <v>900</v>
      </c>
      <c r="B72" s="1301">
        <v>48</v>
      </c>
      <c r="C72" s="14" t="s">
        <v>193</v>
      </c>
      <c r="D72" s="14">
        <v>20</v>
      </c>
      <c r="E72" s="14">
        <v>33971914</v>
      </c>
      <c r="F72" s="199" t="s">
        <v>265</v>
      </c>
      <c r="G72" s="2" t="s">
        <v>194</v>
      </c>
      <c r="H72" s="1233" t="s">
        <v>195</v>
      </c>
      <c r="I72" s="14" t="s">
        <v>23</v>
      </c>
      <c r="J72" s="14" t="s">
        <v>17</v>
      </c>
      <c r="K72" s="8"/>
      <c r="L72" s="177">
        <v>451064</v>
      </c>
      <c r="M72" s="29">
        <v>0.60150000000000003</v>
      </c>
      <c r="N72" s="29">
        <v>1.84E-2</v>
      </c>
      <c r="O72" s="29">
        <v>2.2000000000000001E-3</v>
      </c>
      <c r="P72" s="18">
        <v>2.46E-16</v>
      </c>
      <c r="Q72" s="7">
        <v>398694</v>
      </c>
      <c r="R72" s="45">
        <v>0.61809999999999998</v>
      </c>
      <c r="S72" s="45">
        <v>1.7600000000000001E-2</v>
      </c>
      <c r="T72" s="45">
        <v>2.3999999999999998E-3</v>
      </c>
      <c r="U72" s="18">
        <v>2.6499999999999998E-13</v>
      </c>
      <c r="V72" s="8"/>
      <c r="W72" s="177">
        <v>319090</v>
      </c>
      <c r="X72" s="29">
        <v>0.58630000000000004</v>
      </c>
      <c r="Y72" s="29">
        <v>1.9800000000000002E-2</v>
      </c>
      <c r="Z72" s="29">
        <v>2.7000000000000001E-3</v>
      </c>
      <c r="AA72" s="16">
        <v>2.5099999999999999E-13</v>
      </c>
      <c r="AB72" s="19">
        <v>266720</v>
      </c>
      <c r="AC72" s="29">
        <v>0.60850000000000004</v>
      </c>
      <c r="AD72" s="29">
        <v>1.89E-2</v>
      </c>
      <c r="AE72" s="29">
        <v>3.0000000000000001E-3</v>
      </c>
      <c r="AF72" s="16">
        <v>2.1400000000000001E-10</v>
      </c>
      <c r="AG72" s="8"/>
      <c r="AH72" s="177">
        <v>119369</v>
      </c>
      <c r="AI72" s="29">
        <v>0.6321</v>
      </c>
      <c r="AJ72" s="29">
        <v>1.4880000000000001E-2</v>
      </c>
      <c r="AK72" s="29">
        <v>4.2300000000000003E-3</v>
      </c>
      <c r="AL72" s="16">
        <v>4.35E-4</v>
      </c>
      <c r="AM72" s="14">
        <v>0.159</v>
      </c>
      <c r="AN72" s="10" t="s">
        <v>1</v>
      </c>
      <c r="AO72" s="8"/>
      <c r="AP72" s="177">
        <v>12605</v>
      </c>
      <c r="AQ72" s="29">
        <v>0.67418</v>
      </c>
      <c r="AR72" s="29">
        <v>0.02</v>
      </c>
      <c r="AS72" s="29">
        <v>1.40707E-2</v>
      </c>
      <c r="AT72" s="177">
        <v>0.15520300000000001</v>
      </c>
      <c r="AU72" s="10">
        <v>0.99999800000000005</v>
      </c>
    </row>
    <row r="73" spans="1:104" x14ac:dyDescent="0.25">
      <c r="A73" s="7" t="s">
        <v>900</v>
      </c>
      <c r="B73" s="1301"/>
      <c r="C73" s="14" t="s">
        <v>197</v>
      </c>
      <c r="D73" s="14">
        <v>20</v>
      </c>
      <c r="E73" s="14">
        <v>34022387</v>
      </c>
      <c r="F73" s="199" t="s">
        <v>959</v>
      </c>
      <c r="G73" s="2" t="s">
        <v>198</v>
      </c>
      <c r="H73" s="1233"/>
      <c r="I73" s="14" t="s">
        <v>16</v>
      </c>
      <c r="J73" s="14" t="s">
        <v>17</v>
      </c>
      <c r="K73" s="8"/>
      <c r="L73" s="177">
        <v>345805</v>
      </c>
      <c r="M73" s="29">
        <v>0.64359999999999995</v>
      </c>
      <c r="N73" s="29">
        <v>1.7299999999999999E-2</v>
      </c>
      <c r="O73" s="29">
        <v>2.5999999999999999E-3</v>
      </c>
      <c r="P73" s="18">
        <v>1.8199999999999999E-11</v>
      </c>
      <c r="Q73" s="7">
        <v>320396</v>
      </c>
      <c r="R73" s="45">
        <v>0.64729999999999999</v>
      </c>
      <c r="S73" s="45">
        <v>1.72E-2</v>
      </c>
      <c r="T73" s="45">
        <v>2.7000000000000001E-3</v>
      </c>
      <c r="U73" s="18">
        <v>2.4499999999999998E-10</v>
      </c>
      <c r="V73" s="8"/>
      <c r="W73" s="177">
        <v>213628</v>
      </c>
      <c r="X73" s="29">
        <v>0.63229999999999997</v>
      </c>
      <c r="Y73" s="29">
        <v>1.9199999999999998E-2</v>
      </c>
      <c r="Z73" s="29">
        <v>3.3E-3</v>
      </c>
      <c r="AA73" s="16">
        <v>8.1899999999999992E-9</v>
      </c>
      <c r="AB73" s="19">
        <v>188219</v>
      </c>
      <c r="AC73" s="29">
        <v>0.63670000000000004</v>
      </c>
      <c r="AD73" s="29">
        <v>1.9300000000000001E-2</v>
      </c>
      <c r="AE73" s="29">
        <v>3.5999999999999999E-3</v>
      </c>
      <c r="AF73" s="16">
        <v>5.1499999999999998E-8</v>
      </c>
      <c r="AG73" s="8"/>
      <c r="AH73" s="177">
        <v>119572</v>
      </c>
      <c r="AI73" s="29">
        <v>0.65895999999999999</v>
      </c>
      <c r="AJ73" s="29">
        <v>1.38601E-2</v>
      </c>
      <c r="AK73" s="29">
        <v>4.3023999999999996E-3</v>
      </c>
      <c r="AL73" s="16">
        <v>1.2800000000000001E-3</v>
      </c>
      <c r="AM73" s="14"/>
      <c r="AN73" s="10">
        <v>0.99714000000000003</v>
      </c>
      <c r="AO73" s="8"/>
      <c r="AP73" s="177">
        <v>12605</v>
      </c>
      <c r="AQ73" s="29">
        <v>0.68684999999999996</v>
      </c>
      <c r="AR73" s="29">
        <v>0.02</v>
      </c>
      <c r="AS73" s="29">
        <v>1.43932E-2</v>
      </c>
      <c r="AT73" s="177">
        <v>0.16466800000000001</v>
      </c>
      <c r="AU73" s="10">
        <v>0.99782599999999999</v>
      </c>
    </row>
    <row r="74" spans="1:104" x14ac:dyDescent="0.25">
      <c r="A74" s="23" t="s">
        <v>900</v>
      </c>
      <c r="B74" s="905">
        <v>49</v>
      </c>
      <c r="C74" s="21" t="s">
        <v>200</v>
      </c>
      <c r="D74" s="21">
        <v>20</v>
      </c>
      <c r="E74" s="21">
        <v>42965811</v>
      </c>
      <c r="F74" s="200" t="s">
        <v>201</v>
      </c>
      <c r="G74" s="21" t="s">
        <v>202</v>
      </c>
      <c r="H74" s="21"/>
      <c r="I74" s="21" t="s">
        <v>23</v>
      </c>
      <c r="J74" s="21" t="s">
        <v>17</v>
      </c>
      <c r="K74" s="22"/>
      <c r="L74" s="318">
        <v>428768</v>
      </c>
      <c r="M74" s="30">
        <v>1.4E-3</v>
      </c>
      <c r="N74" s="30">
        <v>0.17180000000000001</v>
      </c>
      <c r="O74" s="30">
        <v>3.2199999999999999E-2</v>
      </c>
      <c r="P74" s="24">
        <v>9.6999999999999995E-8</v>
      </c>
      <c r="Q74" s="23">
        <v>378725</v>
      </c>
      <c r="R74" s="47">
        <v>1.6999999999999999E-3</v>
      </c>
      <c r="S74" s="47">
        <v>0.1706</v>
      </c>
      <c r="T74" s="47">
        <v>3.2300000000000002E-2</v>
      </c>
      <c r="U74" s="24">
        <v>1.29E-7</v>
      </c>
      <c r="V74" s="22"/>
      <c r="W74" s="318">
        <v>296591</v>
      </c>
      <c r="X74" s="30">
        <v>1.5E-3</v>
      </c>
      <c r="Y74" s="30">
        <v>0.16980000000000001</v>
      </c>
      <c r="Z74" s="30">
        <v>3.3399999999999999E-2</v>
      </c>
      <c r="AA74" s="27">
        <v>3.77E-7</v>
      </c>
      <c r="AB74" s="25">
        <v>246548</v>
      </c>
      <c r="AC74" s="30">
        <v>1.8E-3</v>
      </c>
      <c r="AD74" s="30">
        <v>0.16850000000000001</v>
      </c>
      <c r="AE74" s="30">
        <v>3.3500000000000002E-2</v>
      </c>
      <c r="AF74" s="27">
        <v>4.8100000000000003E-7</v>
      </c>
      <c r="AG74" s="22"/>
      <c r="AH74" s="318">
        <v>119572</v>
      </c>
      <c r="AI74" s="30">
        <v>5.0000000000000001E-4</v>
      </c>
      <c r="AJ74" s="30">
        <v>0.21181</v>
      </c>
      <c r="AK74" s="30">
        <v>0.13236600000000001</v>
      </c>
      <c r="AL74" s="27">
        <v>0.11</v>
      </c>
      <c r="AM74" s="21"/>
      <c r="AN74" s="31">
        <v>0.49235600000000002</v>
      </c>
      <c r="AO74" s="22"/>
      <c r="AP74" s="318">
        <v>12605</v>
      </c>
      <c r="AQ74" s="30">
        <v>2.5999999999999998E-4</v>
      </c>
      <c r="AR74" s="30">
        <v>0.121</v>
      </c>
      <c r="AS74" s="30">
        <v>0.3151369</v>
      </c>
      <c r="AT74" s="318">
        <v>0.70100799999999996</v>
      </c>
      <c r="AU74" s="31">
        <v>0.98993100000000001</v>
      </c>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row>
    <row r="75" spans="1:104" x14ac:dyDescent="0.25">
      <c r="A75" s="34" t="s">
        <v>225</v>
      </c>
      <c r="B75" s="589"/>
    </row>
    <row r="76" spans="1:104" x14ac:dyDescent="0.25">
      <c r="A76" s="34" t="s">
        <v>960</v>
      </c>
      <c r="B76" s="589"/>
    </row>
    <row r="77" spans="1:104" x14ac:dyDescent="0.25">
      <c r="A77" s="169" t="s">
        <v>227</v>
      </c>
      <c r="B77" s="169"/>
    </row>
    <row r="78" spans="1:104" x14ac:dyDescent="0.25">
      <c r="A78" s="170" t="s">
        <v>228</v>
      </c>
      <c r="B78" s="170"/>
    </row>
    <row r="79" spans="1:104" ht="14.25" customHeight="1" x14ac:dyDescent="0.25">
      <c r="A79" s="1302" t="s">
        <v>5270</v>
      </c>
      <c r="B79" s="1302"/>
      <c r="C79" s="1302"/>
      <c r="D79" s="1302"/>
      <c r="E79" s="1302"/>
      <c r="F79" s="1302"/>
      <c r="G79" s="1302"/>
      <c r="H79" s="1302"/>
      <c r="I79" s="1302"/>
      <c r="J79" s="1302"/>
      <c r="K79" s="1302"/>
      <c r="L79" s="1302"/>
      <c r="M79" s="1302"/>
      <c r="N79" s="1302"/>
      <c r="O79" s="1302"/>
      <c r="P79" s="1302"/>
      <c r="Q79" s="1302"/>
      <c r="R79" s="1302"/>
      <c r="S79" s="1302"/>
      <c r="T79" s="1302"/>
      <c r="U79" s="1302"/>
      <c r="V79" s="1302"/>
      <c r="W79" s="1302"/>
      <c r="X79" s="1302"/>
    </row>
    <row r="80" spans="1:104" x14ac:dyDescent="0.25">
      <c r="A80" s="737" t="s">
        <v>229</v>
      </c>
      <c r="B80" s="878"/>
      <c r="C80" s="878"/>
      <c r="D80" s="878"/>
      <c r="E80" s="878"/>
      <c r="F80" s="872"/>
      <c r="G80" s="878"/>
      <c r="H80" s="878"/>
      <c r="I80" s="878"/>
      <c r="J80" s="878"/>
      <c r="K80" s="878"/>
      <c r="L80" s="878"/>
      <c r="M80" s="878"/>
      <c r="N80" s="871"/>
    </row>
    <row r="81" spans="1:28" x14ac:dyDescent="0.25">
      <c r="A81" s="737" t="s">
        <v>230</v>
      </c>
      <c r="B81" s="871"/>
      <c r="C81" s="871"/>
      <c r="D81" s="871"/>
      <c r="E81" s="871"/>
      <c r="F81" s="872"/>
      <c r="G81" s="871"/>
      <c r="H81" s="871"/>
      <c r="I81" s="871"/>
      <c r="J81" s="871"/>
      <c r="K81" s="871"/>
      <c r="L81" s="871"/>
      <c r="M81" s="871"/>
      <c r="N81" s="871"/>
    </row>
    <row r="82" spans="1:28" ht="14.85" customHeight="1" x14ac:dyDescent="0.25">
      <c r="A82" s="1226" t="s">
        <v>231</v>
      </c>
      <c r="B82" s="1226"/>
      <c r="C82" s="1226"/>
      <c r="D82" s="1226"/>
      <c r="E82" s="1226"/>
      <c r="F82" s="1226"/>
      <c r="G82" s="1226"/>
      <c r="H82" s="1226"/>
      <c r="I82" s="1226"/>
      <c r="J82" s="1226"/>
      <c r="K82" s="1226"/>
      <c r="L82" s="1226"/>
      <c r="M82" s="1226"/>
      <c r="N82" s="1226"/>
      <c r="O82" s="1226"/>
      <c r="P82" s="1226"/>
      <c r="Q82" s="1226"/>
      <c r="R82" s="1226"/>
      <c r="S82" s="1226"/>
      <c r="T82" s="1226"/>
      <c r="U82" s="1226"/>
      <c r="V82" s="1226"/>
      <c r="W82" s="1226"/>
      <c r="X82" s="1226"/>
      <c r="Y82" s="1226"/>
      <c r="Z82" s="1226"/>
      <c r="AA82" s="1226"/>
      <c r="AB82" s="1226"/>
    </row>
    <row r="83" spans="1:28" x14ac:dyDescent="0.25">
      <c r="A83" s="34" t="s">
        <v>232</v>
      </c>
      <c r="B83" s="589"/>
    </row>
  </sheetData>
  <sortState ref="A5:DC74">
    <sortCondition ref="D5:D74"/>
    <sortCondition ref="E5:E74"/>
  </sortState>
  <mergeCells count="42">
    <mergeCell ref="A82:AB82"/>
    <mergeCell ref="A79:X79"/>
    <mergeCell ref="B15:B16"/>
    <mergeCell ref="B6:B7"/>
    <mergeCell ref="B72:B73"/>
    <mergeCell ref="F32:F33"/>
    <mergeCell ref="F36:F37"/>
    <mergeCell ref="F21:F22"/>
    <mergeCell ref="F6:F7"/>
    <mergeCell ref="F48:F49"/>
    <mergeCell ref="F63:F64"/>
    <mergeCell ref="B46:B50"/>
    <mergeCell ref="B36:B37"/>
    <mergeCell ref="B31:B33"/>
    <mergeCell ref="B23:B24"/>
    <mergeCell ref="B20:B22"/>
    <mergeCell ref="B18:B19"/>
    <mergeCell ref="B70:B71"/>
    <mergeCell ref="B68:B69"/>
    <mergeCell ref="B63:B64"/>
    <mergeCell ref="B59:B61"/>
    <mergeCell ref="B55:B57"/>
    <mergeCell ref="W2:AF2"/>
    <mergeCell ref="AH2:AN2"/>
    <mergeCell ref="AP2:AU2"/>
    <mergeCell ref="L3:P3"/>
    <mergeCell ref="Q3:U3"/>
    <mergeCell ref="W3:AA3"/>
    <mergeCell ref="AB3:AF3"/>
    <mergeCell ref="AH3:AN3"/>
    <mergeCell ref="AP3:AU3"/>
    <mergeCell ref="H6:H7"/>
    <mergeCell ref="H18:H19"/>
    <mergeCell ref="H20:H22"/>
    <mergeCell ref="H23:H24"/>
    <mergeCell ref="L2:U2"/>
    <mergeCell ref="H63:H64"/>
    <mergeCell ref="H68:H69"/>
    <mergeCell ref="H72:H73"/>
    <mergeCell ref="H31:H33"/>
    <mergeCell ref="H36:H37"/>
    <mergeCell ref="H46:H50"/>
  </mergeCells>
  <phoneticPr fontId="101"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89"/>
  <sheetViews>
    <sheetView workbookViewId="0">
      <selection activeCell="H12" sqref="H12"/>
    </sheetView>
  </sheetViews>
  <sheetFormatPr defaultColWidth="8.7109375" defaultRowHeight="15" x14ac:dyDescent="0.25"/>
  <cols>
    <col min="1" max="1" width="8.7109375" style="1"/>
    <col min="2" max="2" width="12" style="904" customWidth="1"/>
    <col min="3" max="3" width="13.28515625" style="1" customWidth="1"/>
    <col min="4" max="4" width="8.7109375" style="1"/>
    <col min="5" max="5" width="12.140625" style="1" customWidth="1"/>
    <col min="6" max="6" width="10.7109375" style="60" customWidth="1"/>
    <col min="7" max="7" width="22.28515625" style="2" customWidth="1"/>
    <col min="8" max="8" width="21.7109375" style="2" customWidth="1"/>
    <col min="9" max="9" width="16.28515625" style="1" customWidth="1"/>
    <col min="10" max="10" width="12.28515625" style="1" customWidth="1"/>
    <col min="11" max="11" width="1.28515625" style="3" customWidth="1"/>
    <col min="12" max="12" width="8.7109375" style="1"/>
    <col min="13" max="13" width="10.7109375" style="1" customWidth="1"/>
    <col min="14" max="14" width="13.85546875" style="1" customWidth="1"/>
    <col min="15" max="16" width="8.7109375" style="1"/>
    <col min="17" max="17" width="14.7109375" style="1" customWidth="1"/>
    <col min="18" max="18" width="8.7109375" style="1"/>
    <col min="19" max="19" width="10.140625" style="4" customWidth="1"/>
    <col min="20" max="20" width="12.85546875" style="4" customWidth="1"/>
    <col min="21" max="21" width="8.7109375" style="4"/>
    <col min="22" max="22" width="8.7109375" style="5"/>
    <col min="23" max="23" width="15.28515625" style="5" customWidth="1"/>
    <col min="24" max="24" width="1.28515625" style="18" customWidth="1"/>
    <col min="25" max="25" width="8.7109375" style="1"/>
    <col min="26" max="26" width="8.7109375" style="4"/>
    <col min="27" max="27" width="12.28515625" style="4" customWidth="1"/>
    <col min="28" max="28" width="8.7109375" style="4"/>
    <col min="29" max="31" width="8.7109375" style="1"/>
    <col min="32" max="32" width="12.28515625" style="1" customWidth="1"/>
    <col min="33" max="33" width="8.7109375" style="1"/>
    <col min="34" max="34" width="8.7109375" style="5"/>
    <col min="35" max="35" width="1.28515625" style="18" customWidth="1"/>
    <col min="36" max="37" width="8.7109375" style="1"/>
    <col min="38" max="38" width="12" style="1" customWidth="1"/>
    <col min="39" max="40" width="8.7109375" style="1"/>
    <col min="41" max="41" width="9.28515625" style="15" customWidth="1"/>
    <col min="42" max="42" width="11.7109375" style="1" customWidth="1"/>
    <col min="43" max="43" width="1.28515625" style="18" customWidth="1"/>
    <col min="44" max="45" width="8.7109375" style="1"/>
    <col min="46" max="46" width="12.140625" style="1" customWidth="1"/>
    <col min="47" max="48" width="8.7109375" style="1"/>
    <col min="49" max="49" width="13.28515625" style="1" customWidth="1"/>
    <col min="50" max="16384" width="8.7109375" style="1"/>
  </cols>
  <sheetData>
    <row r="1" spans="1:50" x14ac:dyDescent="0.25">
      <c r="A1" s="32" t="s">
        <v>5910</v>
      </c>
      <c r="B1" s="371"/>
      <c r="F1" s="909"/>
      <c r="G1" s="1"/>
      <c r="AJ1" s="1" t="s">
        <v>1</v>
      </c>
      <c r="AO1" s="177"/>
      <c r="AR1" s="177"/>
      <c r="AS1" s="177"/>
      <c r="AT1" s="177"/>
      <c r="AU1" s="177"/>
      <c r="AV1" s="177"/>
      <c r="AW1" s="20"/>
    </row>
    <row r="2" spans="1:50" s="41" customFormat="1" x14ac:dyDescent="0.25">
      <c r="A2" s="812"/>
      <c r="B2" s="880"/>
      <c r="C2" s="812"/>
      <c r="D2" s="812"/>
      <c r="E2" s="723" t="s">
        <v>1</v>
      </c>
      <c r="F2" s="910"/>
      <c r="G2" s="814"/>
      <c r="H2" s="892"/>
      <c r="I2" s="812"/>
      <c r="J2" s="812"/>
      <c r="K2" s="6"/>
      <c r="L2" s="1304" t="s">
        <v>885</v>
      </c>
      <c r="M2" s="1304"/>
      <c r="N2" s="1304"/>
      <c r="O2" s="1304"/>
      <c r="P2" s="1304"/>
      <c r="Q2" s="1304"/>
      <c r="R2" s="1304"/>
      <c r="S2" s="1304"/>
      <c r="T2" s="1304"/>
      <c r="U2" s="1304"/>
      <c r="V2" s="1304"/>
      <c r="W2" s="1304"/>
      <c r="X2" s="6"/>
      <c r="Y2" s="1304" t="s">
        <v>886</v>
      </c>
      <c r="Z2" s="1304"/>
      <c r="AA2" s="1304"/>
      <c r="AB2" s="1304"/>
      <c r="AC2" s="1304"/>
      <c r="AD2" s="1304"/>
      <c r="AE2" s="1304"/>
      <c r="AF2" s="1304"/>
      <c r="AG2" s="1304"/>
      <c r="AH2" s="1304"/>
      <c r="AI2" s="6"/>
      <c r="AJ2" s="1304" t="s">
        <v>887</v>
      </c>
      <c r="AK2" s="1304"/>
      <c r="AL2" s="1304"/>
      <c r="AM2" s="1304"/>
      <c r="AN2" s="1304"/>
      <c r="AO2" s="1304"/>
      <c r="AP2" s="1304"/>
      <c r="AQ2" s="6"/>
      <c r="AR2" s="1304" t="s">
        <v>888</v>
      </c>
      <c r="AS2" s="1304"/>
      <c r="AT2" s="1304"/>
      <c r="AU2" s="1304"/>
      <c r="AV2" s="1304"/>
      <c r="AW2" s="1305"/>
      <c r="AX2" s="812"/>
    </row>
    <row r="3" spans="1:50" s="41" customFormat="1" ht="29.1" customHeight="1" x14ac:dyDescent="0.25">
      <c r="A3" s="812"/>
      <c r="B3" s="880"/>
      <c r="C3" s="812"/>
      <c r="D3" s="812"/>
      <c r="E3" s="812"/>
      <c r="F3" s="911"/>
      <c r="G3" s="814"/>
      <c r="H3" s="892"/>
      <c r="I3" s="812"/>
      <c r="J3" s="812"/>
      <c r="K3" s="6"/>
      <c r="L3" s="1294" t="s">
        <v>889</v>
      </c>
      <c r="M3" s="1294"/>
      <c r="N3" s="1294"/>
      <c r="O3" s="1294"/>
      <c r="P3" s="1294"/>
      <c r="Q3" s="1306"/>
      <c r="R3" s="1294" t="s">
        <v>961</v>
      </c>
      <c r="S3" s="1294"/>
      <c r="T3" s="1294"/>
      <c r="U3" s="1294"/>
      <c r="V3" s="1294"/>
      <c r="W3" s="1294"/>
      <c r="X3" s="6"/>
      <c r="Y3" s="1307" t="s">
        <v>889</v>
      </c>
      <c r="Z3" s="1307"/>
      <c r="AA3" s="1307"/>
      <c r="AB3" s="1307"/>
      <c r="AC3" s="1307"/>
      <c r="AD3" s="1294" t="s">
        <v>961</v>
      </c>
      <c r="AE3" s="1294"/>
      <c r="AF3" s="1294"/>
      <c r="AG3" s="1294"/>
      <c r="AH3" s="1294"/>
      <c r="AI3" s="6"/>
      <c r="AJ3" s="1298" t="s">
        <v>289</v>
      </c>
      <c r="AK3" s="1299"/>
      <c r="AL3" s="1299"/>
      <c r="AM3" s="1299"/>
      <c r="AN3" s="1299"/>
      <c r="AO3" s="1299"/>
      <c r="AP3" s="1300"/>
      <c r="AQ3" s="6"/>
      <c r="AR3" s="1298" t="s">
        <v>289</v>
      </c>
      <c r="AS3" s="1299"/>
      <c r="AT3" s="1299"/>
      <c r="AU3" s="1299"/>
      <c r="AV3" s="1299"/>
      <c r="AW3" s="1300"/>
      <c r="AX3" s="812"/>
    </row>
    <row r="4" spans="1:50" s="884" customFormat="1" ht="43.5" customHeight="1" thickBot="1" x14ac:dyDescent="0.3">
      <c r="A4" s="795" t="s">
        <v>890</v>
      </c>
      <c r="B4" s="876" t="s">
        <v>5269</v>
      </c>
      <c r="C4" s="886" t="s">
        <v>3</v>
      </c>
      <c r="D4" s="886" t="s">
        <v>891</v>
      </c>
      <c r="E4" s="885" t="s">
        <v>892</v>
      </c>
      <c r="F4" s="885" t="s">
        <v>893</v>
      </c>
      <c r="G4" s="885" t="s">
        <v>894</v>
      </c>
      <c r="H4" s="893" t="s">
        <v>895</v>
      </c>
      <c r="I4" s="947" t="s">
        <v>896</v>
      </c>
      <c r="J4" s="912" t="s">
        <v>5</v>
      </c>
      <c r="K4" s="913"/>
      <c r="L4" s="795" t="s">
        <v>7</v>
      </c>
      <c r="M4" s="796" t="s">
        <v>8</v>
      </c>
      <c r="N4" s="796" t="s">
        <v>9</v>
      </c>
      <c r="O4" s="797" t="s">
        <v>10</v>
      </c>
      <c r="P4" s="798" t="s">
        <v>11</v>
      </c>
      <c r="Q4" s="917" t="s">
        <v>12</v>
      </c>
      <c r="R4" s="795" t="s">
        <v>7</v>
      </c>
      <c r="S4" s="796" t="s">
        <v>8</v>
      </c>
      <c r="T4" s="796" t="s">
        <v>9</v>
      </c>
      <c r="U4" s="797" t="s">
        <v>10</v>
      </c>
      <c r="V4" s="798" t="s">
        <v>11</v>
      </c>
      <c r="W4" s="917" t="s">
        <v>12</v>
      </c>
      <c r="X4" s="913"/>
      <c r="Y4" s="795" t="s">
        <v>7</v>
      </c>
      <c r="Z4" s="796" t="s">
        <v>8</v>
      </c>
      <c r="AA4" s="796" t="s">
        <v>9</v>
      </c>
      <c r="AB4" s="797" t="s">
        <v>10</v>
      </c>
      <c r="AC4" s="798" t="s">
        <v>11</v>
      </c>
      <c r="AD4" s="1078" t="s">
        <v>7</v>
      </c>
      <c r="AE4" s="796" t="s">
        <v>8</v>
      </c>
      <c r="AF4" s="796" t="s">
        <v>9</v>
      </c>
      <c r="AG4" s="797" t="s">
        <v>10</v>
      </c>
      <c r="AH4" s="798" t="s">
        <v>11</v>
      </c>
      <c r="AI4" s="913"/>
      <c r="AJ4" s="795" t="s">
        <v>7</v>
      </c>
      <c r="AK4" s="796" t="s">
        <v>8</v>
      </c>
      <c r="AL4" s="796" t="s">
        <v>9</v>
      </c>
      <c r="AM4" s="797" t="s">
        <v>10</v>
      </c>
      <c r="AN4" s="798" t="s">
        <v>11</v>
      </c>
      <c r="AO4" s="876" t="s">
        <v>898</v>
      </c>
      <c r="AP4" s="916" t="s">
        <v>899</v>
      </c>
      <c r="AQ4" s="913"/>
      <c r="AR4" s="795" t="s">
        <v>7</v>
      </c>
      <c r="AS4" s="796" t="s">
        <v>8</v>
      </c>
      <c r="AT4" s="796" t="s">
        <v>9</v>
      </c>
      <c r="AU4" s="797" t="s">
        <v>10</v>
      </c>
      <c r="AV4" s="798" t="s">
        <v>11</v>
      </c>
      <c r="AW4" s="916" t="s">
        <v>899</v>
      </c>
    </row>
    <row r="5" spans="1:50" ht="15.75" thickTop="1" x14ac:dyDescent="0.25">
      <c r="A5" s="1" t="s">
        <v>900</v>
      </c>
      <c r="B5" s="904">
        <v>1</v>
      </c>
      <c r="C5" s="1" t="s">
        <v>901</v>
      </c>
      <c r="D5" s="1">
        <v>1</v>
      </c>
      <c r="E5" s="1">
        <v>36225948</v>
      </c>
      <c r="F5" s="60" t="s">
        <v>902</v>
      </c>
      <c r="G5" s="2" t="s">
        <v>903</v>
      </c>
      <c r="I5" s="1" t="s">
        <v>17</v>
      </c>
      <c r="J5" s="1" t="s">
        <v>23</v>
      </c>
      <c r="K5" s="8"/>
      <c r="L5" s="177">
        <v>188983</v>
      </c>
      <c r="M5" s="29">
        <v>0.15440000000000001</v>
      </c>
      <c r="N5" s="29">
        <v>1.7600000000000001E-2</v>
      </c>
      <c r="O5" s="29">
        <v>4.5999999999999999E-3</v>
      </c>
      <c r="P5" s="16">
        <v>1.306E-4</v>
      </c>
      <c r="Q5" s="13">
        <v>0.87311209999999995</v>
      </c>
      <c r="R5" s="19">
        <v>160211</v>
      </c>
      <c r="S5" s="29">
        <v>0.1283</v>
      </c>
      <c r="T5" s="29">
        <v>1.6299999999999999E-2</v>
      </c>
      <c r="U5" s="29">
        <v>5.3E-3</v>
      </c>
      <c r="V5" s="16">
        <v>1.9E-3</v>
      </c>
      <c r="W5" s="16">
        <v>0.83430820000000006</v>
      </c>
      <c r="X5" s="8"/>
      <c r="Y5" s="177">
        <v>126526</v>
      </c>
      <c r="Z5" s="29">
        <v>0.168158</v>
      </c>
      <c r="AA5" s="29">
        <v>1.7853999999999998E-2</v>
      </c>
      <c r="AB5" s="29">
        <v>5.4510000000000001E-3</v>
      </c>
      <c r="AC5" s="16">
        <v>1.06E-3</v>
      </c>
      <c r="AD5" s="1">
        <v>97754</v>
      </c>
      <c r="AE5" s="4">
        <v>0.13341</v>
      </c>
      <c r="AF5" s="4">
        <v>1.5869999999999999E-2</v>
      </c>
      <c r="AG5" s="4">
        <v>6.62E-3</v>
      </c>
      <c r="AH5" s="5">
        <v>1.66E-2</v>
      </c>
      <c r="AI5" s="8"/>
      <c r="AJ5" s="1">
        <v>56585</v>
      </c>
      <c r="AK5" s="4">
        <v>0.1207</v>
      </c>
      <c r="AL5" s="4">
        <v>1.796E-2</v>
      </c>
      <c r="AM5" s="4">
        <v>9.0939999999999997E-3</v>
      </c>
      <c r="AN5" s="5">
        <v>4.8340000000000001E-2</v>
      </c>
      <c r="AO5" s="5">
        <v>0.93500000000000005</v>
      </c>
      <c r="AP5" s="4"/>
      <c r="AQ5" s="8"/>
      <c r="AR5" s="177">
        <v>5872</v>
      </c>
      <c r="AS5" s="177">
        <v>0.10731</v>
      </c>
      <c r="AT5" s="29">
        <v>8.9999999999999993E-3</v>
      </c>
      <c r="AU5" s="29">
        <v>2.85376E-2</v>
      </c>
      <c r="AV5" s="16">
        <v>0.75247799999999998</v>
      </c>
      <c r="AW5" s="43">
        <v>1</v>
      </c>
      <c r="AX5" s="4"/>
    </row>
    <row r="6" spans="1:50" x14ac:dyDescent="0.25">
      <c r="A6" s="1" t="s">
        <v>900</v>
      </c>
      <c r="B6" s="1301">
        <v>2</v>
      </c>
      <c r="C6" s="1" t="s">
        <v>15</v>
      </c>
      <c r="D6" s="1">
        <v>1</v>
      </c>
      <c r="E6" s="1">
        <v>119427467</v>
      </c>
      <c r="F6" s="1303" t="s">
        <v>18</v>
      </c>
      <c r="G6" s="2" t="s">
        <v>19</v>
      </c>
      <c r="H6" s="1233" t="s">
        <v>20</v>
      </c>
      <c r="I6" s="1" t="s">
        <v>16</v>
      </c>
      <c r="J6" s="1" t="s">
        <v>17</v>
      </c>
      <c r="K6" s="8"/>
      <c r="L6" s="177">
        <v>200878</v>
      </c>
      <c r="M6" s="29">
        <v>0.95730000000000004</v>
      </c>
      <c r="N6" s="29">
        <v>3.8199999999999998E-2</v>
      </c>
      <c r="O6" s="29">
        <v>7.7999999999999996E-3</v>
      </c>
      <c r="P6" s="16">
        <v>8.8700000000000004E-7</v>
      </c>
      <c r="Q6" s="13">
        <v>0.66914249999999997</v>
      </c>
      <c r="R6" s="19">
        <v>185316</v>
      </c>
      <c r="S6" s="29">
        <v>0.95730000000000004</v>
      </c>
      <c r="T6" s="29">
        <v>3.5000000000000003E-2</v>
      </c>
      <c r="U6" s="29">
        <v>8.0999999999999996E-3</v>
      </c>
      <c r="V6" s="16">
        <v>1.4399999999999999E-5</v>
      </c>
      <c r="W6" s="16">
        <v>0.49392930000000002</v>
      </c>
      <c r="X6" s="8"/>
      <c r="Y6" s="177">
        <v>140633</v>
      </c>
      <c r="Z6" s="29">
        <v>0.95864000000000005</v>
      </c>
      <c r="AA6" s="29">
        <v>2.9082E-2</v>
      </c>
      <c r="AB6" s="29">
        <v>9.4350000000000007E-3</v>
      </c>
      <c r="AC6" s="16">
        <v>2.0500000000000002E-3</v>
      </c>
      <c r="AD6" s="1">
        <v>125071</v>
      </c>
      <c r="AE6" s="4">
        <v>0.95879000000000003</v>
      </c>
      <c r="AF6" s="4">
        <v>2.3109999999999999E-2</v>
      </c>
      <c r="AG6" s="4">
        <v>9.9900000000000006E-3</v>
      </c>
      <c r="AH6" s="5">
        <v>2.0799999999999999E-2</v>
      </c>
      <c r="AI6" s="8"/>
      <c r="AJ6" s="1">
        <v>54373</v>
      </c>
      <c r="AK6" s="4">
        <v>0.95450999999999997</v>
      </c>
      <c r="AL6" s="4">
        <v>5.552E-2</v>
      </c>
      <c r="AM6" s="4">
        <v>1.461E-2</v>
      </c>
      <c r="AN6" s="5">
        <v>1.4469999999999999E-4</v>
      </c>
      <c r="AO6" s="5">
        <v>0.58760000000000001</v>
      </c>
      <c r="AP6" s="4"/>
      <c r="AQ6" s="8"/>
      <c r="AR6" s="177">
        <v>5872</v>
      </c>
      <c r="AS6" s="177">
        <v>0.95464000000000004</v>
      </c>
      <c r="AT6" s="29">
        <v>7.2999999999999995E-2</v>
      </c>
      <c r="AU6" s="29">
        <v>4.0131E-2</v>
      </c>
      <c r="AV6" s="16">
        <v>6.8904800000000002E-2</v>
      </c>
      <c r="AW6" s="43">
        <v>0.99781799999999998</v>
      </c>
      <c r="AX6" s="4"/>
    </row>
    <row r="7" spans="1:50" x14ac:dyDescent="0.25">
      <c r="A7" s="1" t="s">
        <v>900</v>
      </c>
      <c r="B7" s="1301"/>
      <c r="C7" s="1" t="s">
        <v>22</v>
      </c>
      <c r="D7" s="1">
        <v>1</v>
      </c>
      <c r="E7" s="1">
        <v>119469188</v>
      </c>
      <c r="F7" s="1303"/>
      <c r="G7" s="2" t="s">
        <v>25</v>
      </c>
      <c r="H7" s="1233"/>
      <c r="I7" s="1" t="s">
        <v>23</v>
      </c>
      <c r="J7" s="1" t="s">
        <v>24</v>
      </c>
      <c r="K7" s="8"/>
      <c r="L7" s="177">
        <v>225500</v>
      </c>
      <c r="M7" s="29">
        <v>0.17460000000000001</v>
      </c>
      <c r="N7" s="29">
        <v>1.6400000000000001E-2</v>
      </c>
      <c r="O7" s="29">
        <v>3.8999999999999998E-3</v>
      </c>
      <c r="P7" s="16">
        <v>3.1000000000000001E-5</v>
      </c>
      <c r="Q7" s="13">
        <v>0.59609250000000003</v>
      </c>
      <c r="R7" s="19">
        <v>192238</v>
      </c>
      <c r="S7" s="29">
        <v>0.1898</v>
      </c>
      <c r="T7" s="29">
        <v>1.6199999999999999E-2</v>
      </c>
      <c r="U7" s="29">
        <v>4.1000000000000003E-3</v>
      </c>
      <c r="V7" s="16">
        <v>8.14E-5</v>
      </c>
      <c r="W7" s="16">
        <v>0.52132149999999999</v>
      </c>
      <c r="X7" s="8"/>
      <c r="Y7" s="177">
        <v>163051</v>
      </c>
      <c r="Z7" s="29">
        <v>0.17066400000000001</v>
      </c>
      <c r="AA7" s="29">
        <v>1.3497E-2</v>
      </c>
      <c r="AB7" s="29">
        <v>4.7010000000000003E-3</v>
      </c>
      <c r="AC7" s="16">
        <v>4.0899999999999999E-3</v>
      </c>
      <c r="AD7" s="1">
        <v>129789</v>
      </c>
      <c r="AE7" s="4">
        <v>0.19264000000000001</v>
      </c>
      <c r="AF7" s="4">
        <v>1.278E-2</v>
      </c>
      <c r="AG7" s="4">
        <v>4.9899999999999996E-3</v>
      </c>
      <c r="AH7" s="5">
        <v>1.0500000000000001E-2</v>
      </c>
      <c r="AI7" s="8"/>
      <c r="AJ7" s="1">
        <v>56577</v>
      </c>
      <c r="AK7" s="4">
        <v>0.1802</v>
      </c>
      <c r="AL7" s="4">
        <v>2.2179999999999998E-2</v>
      </c>
      <c r="AM7" s="4">
        <v>7.737E-3</v>
      </c>
      <c r="AN7" s="5">
        <v>4.1419999999999998E-3</v>
      </c>
      <c r="AO7" s="5">
        <v>0.50049999999999994</v>
      </c>
      <c r="AP7" s="4"/>
      <c r="AQ7" s="8"/>
      <c r="AR7" s="177">
        <v>5872</v>
      </c>
      <c r="AS7" s="177">
        <v>0.21046000000000001</v>
      </c>
      <c r="AT7" s="29">
        <v>3.2000000000000001E-2</v>
      </c>
      <c r="AU7" s="29">
        <v>2.0650000000000002E-2</v>
      </c>
      <c r="AV7" s="16">
        <v>0.121228</v>
      </c>
      <c r="AW7" s="43">
        <v>0.99998900000000002</v>
      </c>
      <c r="AX7" s="4"/>
    </row>
    <row r="8" spans="1:50" x14ac:dyDescent="0.25">
      <c r="A8" s="177" t="s">
        <v>900</v>
      </c>
      <c r="B8" s="904">
        <v>3</v>
      </c>
      <c r="C8" s="177" t="s">
        <v>27</v>
      </c>
      <c r="D8" s="177">
        <v>1</v>
      </c>
      <c r="E8" s="177">
        <v>154987704</v>
      </c>
      <c r="F8" s="60" t="s">
        <v>28</v>
      </c>
      <c r="G8" s="2" t="s">
        <v>29</v>
      </c>
      <c r="H8" s="889" t="s">
        <v>30</v>
      </c>
      <c r="I8" s="177" t="s">
        <v>17</v>
      </c>
      <c r="J8" s="177" t="s">
        <v>23</v>
      </c>
      <c r="K8" s="8"/>
      <c r="L8" s="177">
        <v>226709</v>
      </c>
      <c r="M8" s="29">
        <v>0.97509999999999997</v>
      </c>
      <c r="N8" s="29">
        <v>3.8E-3</v>
      </c>
      <c r="O8" s="29">
        <v>9.5999999999999992E-3</v>
      </c>
      <c r="P8" s="16">
        <v>0.68769999999999998</v>
      </c>
      <c r="Q8" s="13">
        <v>7.9100000000000003E-7</v>
      </c>
      <c r="R8" s="19">
        <v>193447</v>
      </c>
      <c r="S8" s="29">
        <v>0.97089999999999999</v>
      </c>
      <c r="T8" s="29">
        <v>3.3999999999999998E-3</v>
      </c>
      <c r="U8" s="29">
        <v>9.7000000000000003E-3</v>
      </c>
      <c r="V8" s="16">
        <v>0.72670000000000001</v>
      </c>
      <c r="W8" s="16">
        <v>7.6000000000000003E-7</v>
      </c>
      <c r="X8" s="8"/>
      <c r="Y8" s="177">
        <v>164238</v>
      </c>
      <c r="Z8" s="29">
        <v>0.97458800000000001</v>
      </c>
      <c r="AA8" s="29">
        <v>-4.8549999999999999E-3</v>
      </c>
      <c r="AB8" s="29">
        <v>1.116E-2</v>
      </c>
      <c r="AC8" s="16">
        <v>0.66400000000000003</v>
      </c>
      <c r="AD8" s="1">
        <v>130976</v>
      </c>
      <c r="AE8" s="4">
        <v>0.96887000000000001</v>
      </c>
      <c r="AF8" s="4">
        <v>-5.7200000000000003E-3</v>
      </c>
      <c r="AG8" s="4">
        <v>1.1299999999999999E-2</v>
      </c>
      <c r="AH8" s="5">
        <v>0.61299999999999999</v>
      </c>
      <c r="AI8" s="8"/>
      <c r="AJ8" s="1">
        <v>56599</v>
      </c>
      <c r="AK8" s="4">
        <v>0.97824999999999995</v>
      </c>
      <c r="AL8" s="4">
        <v>2.9760000000000002E-2</v>
      </c>
      <c r="AM8" s="4">
        <v>2.051E-2</v>
      </c>
      <c r="AN8" s="5">
        <v>0.14680000000000001</v>
      </c>
      <c r="AO8" s="5">
        <v>1.39E-25</v>
      </c>
      <c r="AP8" s="4"/>
      <c r="AQ8" s="8"/>
      <c r="AR8" s="177">
        <v>5872</v>
      </c>
      <c r="AS8" s="177">
        <v>0.96821999999999997</v>
      </c>
      <c r="AT8" s="29">
        <v>0.02</v>
      </c>
      <c r="AU8" s="29">
        <v>4.4181999999999999E-2</v>
      </c>
      <c r="AV8" s="16">
        <v>0.65078400000000003</v>
      </c>
      <c r="AW8" s="43">
        <v>0.99672000000000005</v>
      </c>
      <c r="AX8" s="4"/>
    </row>
    <row r="9" spans="1:50" x14ac:dyDescent="0.25">
      <c r="A9" s="1" t="s">
        <v>900</v>
      </c>
      <c r="B9" s="904">
        <v>4</v>
      </c>
      <c r="C9" s="1" t="s">
        <v>211</v>
      </c>
      <c r="D9" s="1">
        <v>1</v>
      </c>
      <c r="E9" s="1">
        <v>173802608</v>
      </c>
      <c r="F9" s="60" t="s">
        <v>212</v>
      </c>
      <c r="G9" s="2" t="s">
        <v>213</v>
      </c>
      <c r="I9" s="1" t="s">
        <v>24</v>
      </c>
      <c r="J9" s="1" t="s">
        <v>16</v>
      </c>
      <c r="K9" s="8"/>
      <c r="L9" s="177">
        <v>187155</v>
      </c>
      <c r="M9" s="29">
        <v>4.5999999999999999E-3</v>
      </c>
      <c r="N9" s="29">
        <v>0.1014</v>
      </c>
      <c r="O9" s="29">
        <v>2.8500000000000001E-2</v>
      </c>
      <c r="P9" s="16">
        <v>3.745E-4</v>
      </c>
      <c r="Q9" s="13">
        <v>8.6594099999999993E-2</v>
      </c>
      <c r="R9" s="19">
        <v>154194</v>
      </c>
      <c r="S9" s="29">
        <v>1.8E-3</v>
      </c>
      <c r="T9" s="29">
        <v>0.25700000000000001</v>
      </c>
      <c r="U9" s="29">
        <v>4.9099999999999998E-2</v>
      </c>
      <c r="V9" s="16">
        <v>1.6299999999999999E-7</v>
      </c>
      <c r="W9" s="16">
        <v>6.0161800000000001E-2</v>
      </c>
      <c r="X9" s="8"/>
      <c r="Y9" s="177">
        <v>130509</v>
      </c>
      <c r="Z9" s="29">
        <v>4.7060000000000001E-3</v>
      </c>
      <c r="AA9" s="29">
        <v>0.100507</v>
      </c>
      <c r="AB9" s="29">
        <v>2.9031999999999999E-2</v>
      </c>
      <c r="AC9" s="16">
        <v>5.3600000000000002E-4</v>
      </c>
      <c r="AD9" s="1">
        <v>97548</v>
      </c>
      <c r="AE9" s="4">
        <v>2E-3</v>
      </c>
      <c r="AF9" s="4">
        <v>0.27238000000000001</v>
      </c>
      <c r="AG9" s="4">
        <v>5.1880000000000003E-2</v>
      </c>
      <c r="AH9" s="5">
        <v>1.5200000000000001E-7</v>
      </c>
      <c r="AI9" s="8"/>
      <c r="AJ9" s="1">
        <v>56646</v>
      </c>
      <c r="AK9" s="4">
        <v>4.4999999999999999E-4</v>
      </c>
      <c r="AL9" s="4">
        <v>0.12636900000000001</v>
      </c>
      <c r="AM9" s="4">
        <v>0.1512</v>
      </c>
      <c r="AN9" s="5">
        <v>0.40328399999999998</v>
      </c>
      <c r="AO9" s="5"/>
      <c r="AP9" s="4">
        <v>0.84739900000000001</v>
      </c>
      <c r="AQ9" s="8"/>
      <c r="AR9" s="177"/>
      <c r="AS9" s="177"/>
      <c r="AT9" s="29"/>
      <c r="AU9" s="29"/>
      <c r="AV9" s="16"/>
      <c r="AW9" s="43">
        <v>1</v>
      </c>
      <c r="AX9" s="4"/>
    </row>
    <row r="10" spans="1:50" x14ac:dyDescent="0.25">
      <c r="A10" s="1" t="s">
        <v>900</v>
      </c>
      <c r="B10" s="904">
        <v>5</v>
      </c>
      <c r="C10" s="1" t="s">
        <v>257</v>
      </c>
      <c r="D10" s="1">
        <v>1</v>
      </c>
      <c r="E10" s="1">
        <v>205130413</v>
      </c>
      <c r="F10" s="60" t="s">
        <v>258</v>
      </c>
      <c r="G10" s="2" t="s">
        <v>259</v>
      </c>
      <c r="I10" s="1" t="s">
        <v>24</v>
      </c>
      <c r="J10" s="1" t="s">
        <v>16</v>
      </c>
      <c r="K10" s="8"/>
      <c r="L10" s="177">
        <v>225803</v>
      </c>
      <c r="M10" s="29">
        <v>0.91439999999999999</v>
      </c>
      <c r="N10" s="29">
        <v>-5.1000000000000004E-3</v>
      </c>
      <c r="O10" s="29">
        <v>5.3E-3</v>
      </c>
      <c r="P10" s="16">
        <v>0.33939999999999998</v>
      </c>
      <c r="Q10" s="13">
        <v>9.7500000000000006E-8</v>
      </c>
      <c r="R10" s="19">
        <v>192541</v>
      </c>
      <c r="S10" s="29">
        <v>0.90749999999999997</v>
      </c>
      <c r="T10" s="29">
        <v>-3.8999999999999998E-3</v>
      </c>
      <c r="U10" s="29">
        <v>5.4999999999999997E-3</v>
      </c>
      <c r="V10" s="16">
        <v>0.47860000000000003</v>
      </c>
      <c r="W10" s="16">
        <v>3.15E-7</v>
      </c>
      <c r="X10" s="8"/>
      <c r="Y10" s="177">
        <v>163332</v>
      </c>
      <c r="Z10" s="29">
        <v>0.91594100000000001</v>
      </c>
      <c r="AA10" s="29">
        <v>-7.6889999999999997E-3</v>
      </c>
      <c r="AB10" s="29">
        <v>6.3049999999999998E-3</v>
      </c>
      <c r="AC10" s="16">
        <v>0.223</v>
      </c>
      <c r="AD10" s="1">
        <v>130070</v>
      </c>
      <c r="AE10" s="4">
        <v>0.90608</v>
      </c>
      <c r="AF10" s="4">
        <v>-6.3499999999999997E-3</v>
      </c>
      <c r="AG10" s="4">
        <v>6.7000000000000002E-3</v>
      </c>
      <c r="AH10" s="5">
        <v>0.34300000000000003</v>
      </c>
      <c r="AI10" s="8"/>
      <c r="AJ10" s="1">
        <v>56599</v>
      </c>
      <c r="AK10" s="4">
        <v>0.90830999999999995</v>
      </c>
      <c r="AL10" s="4">
        <v>1.052E-2</v>
      </c>
      <c r="AM10" s="4">
        <v>1.0359999999999999E-2</v>
      </c>
      <c r="AN10" s="5">
        <v>0.30980000000000002</v>
      </c>
      <c r="AO10" s="5">
        <v>0.93100000000000005</v>
      </c>
      <c r="AP10" s="4"/>
      <c r="AQ10" s="8"/>
      <c r="AR10" s="177">
        <v>5872</v>
      </c>
      <c r="AS10" s="177">
        <v>0.93208999999999997</v>
      </c>
      <c r="AT10" s="29">
        <v>-9.1999999999999998E-2</v>
      </c>
      <c r="AU10" s="29">
        <v>3.3031499999999998E-2</v>
      </c>
      <c r="AV10" s="16">
        <v>5.3492000000000001E-3</v>
      </c>
      <c r="AW10" s="43">
        <v>0.999421</v>
      </c>
      <c r="AX10" s="4"/>
    </row>
    <row r="11" spans="1:50" x14ac:dyDescent="0.25">
      <c r="A11" s="1" t="s">
        <v>905</v>
      </c>
      <c r="B11" s="904">
        <v>6</v>
      </c>
      <c r="C11" s="1" t="s">
        <v>906</v>
      </c>
      <c r="D11" s="1">
        <v>2</v>
      </c>
      <c r="E11" s="1">
        <v>15607842</v>
      </c>
      <c r="F11" s="199" t="s">
        <v>907</v>
      </c>
      <c r="G11" s="2" t="s">
        <v>908</v>
      </c>
      <c r="H11" s="14"/>
      <c r="I11" s="1" t="s">
        <v>17</v>
      </c>
      <c r="J11" s="1" t="s">
        <v>23</v>
      </c>
      <c r="K11" s="8"/>
      <c r="L11" s="177">
        <v>219790</v>
      </c>
      <c r="M11" s="29">
        <v>0.63249999999999995</v>
      </c>
      <c r="N11" s="29">
        <v>3.2000000000000002E-3</v>
      </c>
      <c r="O11" s="29">
        <v>4.4000000000000003E-3</v>
      </c>
      <c r="P11" s="16">
        <v>0.47639999999999999</v>
      </c>
      <c r="Q11" s="13">
        <v>5.8040799999999997E-2</v>
      </c>
      <c r="R11" s="19">
        <v>187589</v>
      </c>
      <c r="S11" s="29">
        <v>0.6673</v>
      </c>
      <c r="T11" s="29">
        <v>3.0999999999999999E-3</v>
      </c>
      <c r="U11" s="29">
        <v>4.7000000000000002E-3</v>
      </c>
      <c r="V11" s="16">
        <v>0.50490000000000002</v>
      </c>
      <c r="W11" s="16">
        <v>3.8759299999999997E-2</v>
      </c>
      <c r="X11" s="8"/>
      <c r="Y11" s="177">
        <v>157272</v>
      </c>
      <c r="Z11" s="29">
        <v>0.61536199999999996</v>
      </c>
      <c r="AA11" s="29">
        <v>5.764E-3</v>
      </c>
      <c r="AB11" s="29">
        <v>5.2900000000000004E-3</v>
      </c>
      <c r="AC11" s="16">
        <v>0.27600000000000002</v>
      </c>
      <c r="AD11" s="1">
        <v>125071</v>
      </c>
      <c r="AE11" s="4">
        <v>0.66451000000000005</v>
      </c>
      <c r="AF11" s="4">
        <v>6.1000000000000004E-3</v>
      </c>
      <c r="AG11" s="4">
        <v>5.6899999999999997E-3</v>
      </c>
      <c r="AH11" s="5">
        <v>0.28399999999999997</v>
      </c>
      <c r="AI11" s="8"/>
      <c r="AJ11" s="1">
        <v>56646</v>
      </c>
      <c r="AK11" s="4">
        <v>0.67745999999999995</v>
      </c>
      <c r="AL11" s="4">
        <v>-8.0958000000000002E-3</v>
      </c>
      <c r="AM11" s="4">
        <v>8.4221000000000001E-3</v>
      </c>
      <c r="AN11" s="5">
        <v>0.336424</v>
      </c>
      <c r="AO11" s="5"/>
      <c r="AP11" s="4">
        <v>0.99872000000000005</v>
      </c>
      <c r="AQ11" s="8"/>
      <c r="AR11" s="177">
        <v>5872</v>
      </c>
      <c r="AS11" s="177">
        <v>0.61165000000000003</v>
      </c>
      <c r="AT11" s="29">
        <v>6.6000000000000003E-2</v>
      </c>
      <c r="AU11" s="29">
        <v>3.0974700000000001E-2</v>
      </c>
      <c r="AV11" s="16">
        <v>3.31078E-2</v>
      </c>
      <c r="AW11" s="43">
        <v>1</v>
      </c>
      <c r="AX11" s="4"/>
    </row>
    <row r="12" spans="1:50" x14ac:dyDescent="0.25">
      <c r="A12" s="1" t="s">
        <v>900</v>
      </c>
      <c r="B12" s="904">
        <v>7</v>
      </c>
      <c r="C12" s="1" t="s">
        <v>32</v>
      </c>
      <c r="D12" s="1">
        <v>2</v>
      </c>
      <c r="E12" s="1">
        <v>158412701</v>
      </c>
      <c r="F12" s="60" t="s">
        <v>33</v>
      </c>
      <c r="G12" s="2" t="s">
        <v>34</v>
      </c>
      <c r="I12" s="1" t="s">
        <v>23</v>
      </c>
      <c r="J12" s="1" t="s">
        <v>24</v>
      </c>
      <c r="K12" s="8"/>
      <c r="L12" s="177">
        <v>210071</v>
      </c>
      <c r="M12" s="29">
        <v>0.98899999999999999</v>
      </c>
      <c r="N12" s="29">
        <v>5.4999999999999997E-3</v>
      </c>
      <c r="O12" s="29">
        <v>1.52E-2</v>
      </c>
      <c r="P12" s="16">
        <v>0.71889999999999998</v>
      </c>
      <c r="Q12" s="13">
        <v>1.7100000000000001E-7</v>
      </c>
      <c r="R12" s="19">
        <v>193448</v>
      </c>
      <c r="S12" s="29">
        <v>0.98839999999999995</v>
      </c>
      <c r="T12" s="29">
        <v>6.4000000000000003E-3</v>
      </c>
      <c r="U12" s="29">
        <v>1.54E-2</v>
      </c>
      <c r="V12" s="16">
        <v>0.67530000000000001</v>
      </c>
      <c r="W12" s="16">
        <v>8.1900000000000001E-7</v>
      </c>
      <c r="X12" s="8"/>
      <c r="Y12" s="177">
        <v>147599</v>
      </c>
      <c r="Z12" s="29">
        <v>0.99129</v>
      </c>
      <c r="AA12" s="29">
        <v>-1.5318999999999999E-2</v>
      </c>
      <c r="AB12" s="29">
        <v>1.9519000000000002E-2</v>
      </c>
      <c r="AC12" s="16">
        <v>0.433</v>
      </c>
      <c r="AD12" s="1">
        <v>130976</v>
      </c>
      <c r="AE12" s="4">
        <v>0.99041999999999997</v>
      </c>
      <c r="AF12" s="4">
        <v>-1.427E-2</v>
      </c>
      <c r="AG12" s="4">
        <v>1.976E-2</v>
      </c>
      <c r="AH12" s="5">
        <v>0.47</v>
      </c>
      <c r="AI12" s="8"/>
      <c r="AJ12" s="1">
        <v>56600</v>
      </c>
      <c r="AK12" s="4">
        <v>0.98792999999999997</v>
      </c>
      <c r="AL12" s="4">
        <v>5.7270000000000001E-2</v>
      </c>
      <c r="AM12" s="4">
        <v>2.742E-2</v>
      </c>
      <c r="AN12" s="5">
        <v>3.6720000000000003E-2</v>
      </c>
      <c r="AO12" s="5">
        <v>0.14430000000000001</v>
      </c>
      <c r="AP12" s="4"/>
      <c r="AQ12" s="8"/>
      <c r="AR12" s="177">
        <v>5872</v>
      </c>
      <c r="AS12" s="177">
        <v>0.97548000000000001</v>
      </c>
      <c r="AT12" s="29">
        <v>-3.5000000000000003E-2</v>
      </c>
      <c r="AU12" s="29">
        <v>5.3259599999999997E-2</v>
      </c>
      <c r="AV12" s="16">
        <v>0.51107899999999995</v>
      </c>
      <c r="AW12" s="43">
        <v>0.99405500000000002</v>
      </c>
      <c r="AX12" s="4"/>
    </row>
    <row r="13" spans="1:50" ht="45" x14ac:dyDescent="0.25">
      <c r="A13" s="1" t="s">
        <v>900</v>
      </c>
      <c r="B13" s="904">
        <v>8</v>
      </c>
      <c r="C13" s="1" t="s">
        <v>37</v>
      </c>
      <c r="D13" s="1">
        <v>2</v>
      </c>
      <c r="E13" s="1">
        <v>165551201</v>
      </c>
      <c r="F13" s="60" t="s">
        <v>38</v>
      </c>
      <c r="G13" s="2" t="s">
        <v>39</v>
      </c>
      <c r="H13" s="889" t="s">
        <v>40</v>
      </c>
      <c r="I13" s="1" t="s">
        <v>23</v>
      </c>
      <c r="J13" s="1" t="s">
        <v>17</v>
      </c>
      <c r="K13" s="8"/>
      <c r="L13" s="177">
        <v>173600</v>
      </c>
      <c r="M13" s="29">
        <v>0.87960000000000005</v>
      </c>
      <c r="N13" s="29">
        <v>-1.78E-2</v>
      </c>
      <c r="O13" s="29">
        <v>5.1999999999999998E-3</v>
      </c>
      <c r="P13" s="16">
        <v>5.754E-4</v>
      </c>
      <c r="Q13" s="13">
        <v>3.010203E-30</v>
      </c>
      <c r="R13" s="19">
        <v>162734</v>
      </c>
      <c r="S13" s="29">
        <v>0.87870000000000004</v>
      </c>
      <c r="T13" s="29">
        <v>-1.66E-2</v>
      </c>
      <c r="U13" s="29">
        <v>5.3E-3</v>
      </c>
      <c r="V13" s="16">
        <v>1.7880000000000001E-3</v>
      </c>
      <c r="W13" s="16">
        <v>1.7999999999999999E-28</v>
      </c>
      <c r="X13" s="8"/>
      <c r="Y13" s="177">
        <v>111082</v>
      </c>
      <c r="Z13" s="29">
        <v>0.88136999999999999</v>
      </c>
      <c r="AA13" s="29">
        <v>-1.6185000000000001E-2</v>
      </c>
      <c r="AB13" s="29">
        <v>6.4999999999999997E-3</v>
      </c>
      <c r="AC13" s="16">
        <v>1.2800000000000001E-2</v>
      </c>
      <c r="AD13" s="1">
        <v>100216</v>
      </c>
      <c r="AE13" s="4">
        <v>0.88000999999999996</v>
      </c>
      <c r="AF13" s="4">
        <v>-1.4080000000000001E-2</v>
      </c>
      <c r="AG13" s="4">
        <v>6.7999999999999996E-3</v>
      </c>
      <c r="AH13" s="5">
        <v>3.8600000000000002E-2</v>
      </c>
      <c r="AI13" s="8"/>
      <c r="AJ13" s="1">
        <v>56646</v>
      </c>
      <c r="AK13" s="4">
        <v>0.87995999999999996</v>
      </c>
      <c r="AL13" s="4">
        <v>-2.2775799999999999E-2</v>
      </c>
      <c r="AM13" s="4">
        <v>9.1061000000000007E-3</v>
      </c>
      <c r="AN13" s="5">
        <v>1.23781E-2</v>
      </c>
      <c r="AO13" s="5"/>
      <c r="AP13" s="4">
        <v>0.99783699999999997</v>
      </c>
      <c r="AQ13" s="8"/>
      <c r="AR13" s="177">
        <v>5872</v>
      </c>
      <c r="AS13" s="177">
        <v>0.85274000000000005</v>
      </c>
      <c r="AT13" s="29">
        <v>-5.0000000000000001E-3</v>
      </c>
      <c r="AU13" s="29">
        <v>2.3970399999999999E-2</v>
      </c>
      <c r="AV13" s="16">
        <v>0.83476799999999995</v>
      </c>
      <c r="AW13" s="43">
        <v>0.99975800000000004</v>
      </c>
      <c r="AX13" s="4"/>
    </row>
    <row r="14" spans="1:50" x14ac:dyDescent="0.25">
      <c r="A14" s="1" t="s">
        <v>900</v>
      </c>
      <c r="B14" s="904">
        <v>9</v>
      </c>
      <c r="C14" s="1" t="s">
        <v>42</v>
      </c>
      <c r="D14" s="1">
        <v>2</v>
      </c>
      <c r="E14" s="1">
        <v>188343497</v>
      </c>
      <c r="F14" s="60" t="s">
        <v>43</v>
      </c>
      <c r="G14" s="2" t="s">
        <v>44</v>
      </c>
      <c r="H14" s="889" t="s">
        <v>45</v>
      </c>
      <c r="I14" s="1" t="s">
        <v>23</v>
      </c>
      <c r="J14" s="1" t="s">
        <v>17</v>
      </c>
      <c r="K14" s="8"/>
      <c r="L14" s="177">
        <v>214576</v>
      </c>
      <c r="M14" s="29">
        <v>0.69830000000000003</v>
      </c>
      <c r="N14" s="29">
        <v>1.55E-2</v>
      </c>
      <c r="O14" s="29">
        <v>3.3E-3</v>
      </c>
      <c r="P14" s="16">
        <v>2.92E-6</v>
      </c>
      <c r="Q14" s="13">
        <v>0.62948689999999996</v>
      </c>
      <c r="R14" s="19">
        <v>181314</v>
      </c>
      <c r="S14" s="29">
        <v>0.69520000000000004</v>
      </c>
      <c r="T14" s="29">
        <v>1.8700000000000001E-2</v>
      </c>
      <c r="U14" s="29">
        <v>3.5999999999999999E-3</v>
      </c>
      <c r="V14" s="16">
        <v>1.85E-7</v>
      </c>
      <c r="W14" s="16">
        <v>0.79128580000000004</v>
      </c>
      <c r="X14" s="8"/>
      <c r="Y14" s="177">
        <v>152126</v>
      </c>
      <c r="Z14" s="29">
        <v>0.696156</v>
      </c>
      <c r="AA14" s="29">
        <v>1.3565000000000001E-2</v>
      </c>
      <c r="AB14" s="29">
        <v>3.9360000000000003E-3</v>
      </c>
      <c r="AC14" s="16">
        <v>5.6700000000000001E-4</v>
      </c>
      <c r="AD14" s="1">
        <v>118864</v>
      </c>
      <c r="AE14" s="4">
        <v>0.69089999999999996</v>
      </c>
      <c r="AF14" s="4">
        <v>1.7940000000000001E-2</v>
      </c>
      <c r="AG14" s="4">
        <v>4.4200000000000003E-3</v>
      </c>
      <c r="AH14" s="5">
        <v>4.9499999999999997E-5</v>
      </c>
      <c r="AI14" s="8"/>
      <c r="AJ14" s="1">
        <v>56578</v>
      </c>
      <c r="AK14" s="4">
        <v>0.70640000000000003</v>
      </c>
      <c r="AL14" s="4">
        <v>1.9810000000000001E-2</v>
      </c>
      <c r="AM14" s="4">
        <v>6.5279999999999999E-3</v>
      </c>
      <c r="AN14" s="5">
        <v>2.4099999999999998E-3</v>
      </c>
      <c r="AO14" s="5">
        <v>0.12939999999999999</v>
      </c>
      <c r="AP14" s="4"/>
      <c r="AQ14" s="8"/>
      <c r="AR14" s="177">
        <v>5872</v>
      </c>
      <c r="AS14" s="177">
        <v>0.68301000000000001</v>
      </c>
      <c r="AT14" s="29">
        <v>2.1999999999999999E-2</v>
      </c>
      <c r="AU14" s="29">
        <v>1.7415799999999999E-2</v>
      </c>
      <c r="AV14" s="16">
        <v>0.206509</v>
      </c>
      <c r="AW14" s="43">
        <v>0.99996600000000002</v>
      </c>
      <c r="AX14" s="4"/>
    </row>
    <row r="15" spans="1:50" x14ac:dyDescent="0.25">
      <c r="A15" s="1" t="s">
        <v>900</v>
      </c>
      <c r="B15" s="1301">
        <v>10</v>
      </c>
      <c r="C15" s="1" t="s">
        <v>909</v>
      </c>
      <c r="D15" s="1">
        <v>3</v>
      </c>
      <c r="E15" s="1">
        <v>47125385</v>
      </c>
      <c r="F15" s="60" t="s">
        <v>910</v>
      </c>
      <c r="G15" s="2" t="s">
        <v>911</v>
      </c>
      <c r="I15" s="1" t="s">
        <v>16</v>
      </c>
      <c r="J15" s="1" t="s">
        <v>24</v>
      </c>
      <c r="K15" s="8"/>
      <c r="L15" s="177">
        <v>164238</v>
      </c>
      <c r="M15" s="29">
        <v>0.5615</v>
      </c>
      <c r="N15" s="29">
        <v>9.2999999999999992E-3</v>
      </c>
      <c r="O15" s="29">
        <v>3.5000000000000001E-3</v>
      </c>
      <c r="P15" s="16">
        <v>8.5690000000000002E-3</v>
      </c>
      <c r="Q15" s="13">
        <v>0.18558140000000001</v>
      </c>
      <c r="R15" s="19">
        <v>130976</v>
      </c>
      <c r="S15" s="29">
        <v>0.57740000000000002</v>
      </c>
      <c r="T15" s="29">
        <v>6.6E-3</v>
      </c>
      <c r="U15" s="29">
        <v>4.0000000000000001E-3</v>
      </c>
      <c r="V15" s="16">
        <v>9.5409999999999995E-2</v>
      </c>
      <c r="W15" s="16">
        <v>6.7690299999999995E-2</v>
      </c>
      <c r="X15" s="8"/>
      <c r="Y15" s="177">
        <v>164238</v>
      </c>
      <c r="Z15" s="29">
        <v>0.56150100000000003</v>
      </c>
      <c r="AA15" s="29">
        <v>9.3270000000000002E-3</v>
      </c>
      <c r="AB15" s="29">
        <v>3.5479999999999999E-3</v>
      </c>
      <c r="AC15" s="16">
        <v>8.5699999999999995E-3</v>
      </c>
      <c r="AD15" s="1">
        <v>130976</v>
      </c>
      <c r="AE15" s="4">
        <v>0.57737000000000005</v>
      </c>
      <c r="AF15" s="4">
        <v>6.62E-3</v>
      </c>
      <c r="AG15" s="4">
        <v>3.9699999999999996E-3</v>
      </c>
      <c r="AH15" s="5">
        <v>9.5899999999999999E-2</v>
      </c>
      <c r="AI15" s="8"/>
      <c r="AK15" s="4"/>
      <c r="AL15" s="4"/>
      <c r="AM15" s="4"/>
      <c r="AN15" s="5"/>
      <c r="AO15" s="5"/>
      <c r="AP15" s="4"/>
      <c r="AQ15" s="8"/>
      <c r="AR15" s="177"/>
      <c r="AS15" s="177"/>
      <c r="AT15" s="29"/>
      <c r="AU15" s="29"/>
      <c r="AV15" s="16"/>
      <c r="AW15" s="43"/>
      <c r="AX15" s="4"/>
    </row>
    <row r="16" spans="1:50" x14ac:dyDescent="0.25">
      <c r="A16" s="1" t="s">
        <v>900</v>
      </c>
      <c r="B16" s="1301"/>
      <c r="C16" s="1" t="s">
        <v>912</v>
      </c>
      <c r="D16" s="1">
        <v>3</v>
      </c>
      <c r="E16" s="1">
        <v>47282303</v>
      </c>
      <c r="F16" s="60" t="s">
        <v>913</v>
      </c>
      <c r="G16" s="2" t="s">
        <v>914</v>
      </c>
      <c r="I16" s="1" t="s">
        <v>16</v>
      </c>
      <c r="J16" s="1" t="s">
        <v>24</v>
      </c>
      <c r="K16" s="8"/>
      <c r="L16" s="177">
        <v>164238</v>
      </c>
      <c r="M16" s="29">
        <v>0.59040000000000004</v>
      </c>
      <c r="N16" s="29">
        <v>1.0800000000000001E-2</v>
      </c>
      <c r="O16" s="29">
        <v>3.5999999999999999E-3</v>
      </c>
      <c r="P16" s="16">
        <v>2.5400000000000002E-3</v>
      </c>
      <c r="Q16" s="13">
        <v>0.3662861</v>
      </c>
      <c r="R16" s="19">
        <v>130976</v>
      </c>
      <c r="S16" s="29">
        <v>0.59640000000000004</v>
      </c>
      <c r="T16" s="29">
        <v>8.6999999999999994E-3</v>
      </c>
      <c r="U16" s="29">
        <v>4.0000000000000001E-3</v>
      </c>
      <c r="V16" s="16">
        <v>3.039E-2</v>
      </c>
      <c r="W16" s="16">
        <v>0.20742659999999999</v>
      </c>
      <c r="X16" s="8"/>
      <c r="Y16" s="177">
        <v>164238</v>
      </c>
      <c r="Z16" s="29">
        <v>0.59035700000000002</v>
      </c>
      <c r="AA16" s="29">
        <v>1.0755000000000001E-2</v>
      </c>
      <c r="AB16" s="29">
        <v>3.5630000000000002E-3</v>
      </c>
      <c r="AC16" s="16">
        <v>2.5400000000000002E-3</v>
      </c>
      <c r="AD16" s="1">
        <v>130976</v>
      </c>
      <c r="AE16" s="4">
        <v>0.59641999999999995</v>
      </c>
      <c r="AF16" s="4">
        <v>8.6599999999999993E-3</v>
      </c>
      <c r="AG16" s="4">
        <v>4.0000000000000001E-3</v>
      </c>
      <c r="AH16" s="5">
        <v>3.0499999999999999E-2</v>
      </c>
      <c r="AI16" s="8"/>
      <c r="AK16" s="4"/>
      <c r="AL16" s="4"/>
      <c r="AM16" s="4"/>
      <c r="AN16" s="5"/>
      <c r="AO16" s="5"/>
      <c r="AP16" s="4"/>
      <c r="AQ16" s="8"/>
      <c r="AR16" s="177"/>
      <c r="AS16" s="177"/>
      <c r="AT16" s="29"/>
      <c r="AU16" s="29"/>
      <c r="AV16" s="16"/>
      <c r="AW16" s="43"/>
      <c r="AX16" s="4"/>
    </row>
    <row r="17" spans="1:50" x14ac:dyDescent="0.25">
      <c r="A17" s="1" t="s">
        <v>900</v>
      </c>
      <c r="B17" s="904">
        <v>11</v>
      </c>
      <c r="C17" s="1" t="s">
        <v>47</v>
      </c>
      <c r="D17" s="1">
        <v>3</v>
      </c>
      <c r="E17" s="1">
        <v>50597092</v>
      </c>
      <c r="F17" s="60" t="s">
        <v>48</v>
      </c>
      <c r="G17" s="2" t="s">
        <v>49</v>
      </c>
      <c r="I17" s="1" t="s">
        <v>24</v>
      </c>
      <c r="J17" s="1" t="s">
        <v>16</v>
      </c>
      <c r="K17" s="8"/>
      <c r="L17" s="177">
        <v>210009</v>
      </c>
      <c r="M17" s="29">
        <v>0.1328</v>
      </c>
      <c r="N17" s="29">
        <v>1.5800000000000002E-2</v>
      </c>
      <c r="O17" s="29">
        <v>4.4999999999999997E-3</v>
      </c>
      <c r="P17" s="16">
        <v>4.9899999999999999E-4</v>
      </c>
      <c r="Q17" s="13">
        <v>0.88411050000000002</v>
      </c>
      <c r="R17" s="19">
        <v>193386</v>
      </c>
      <c r="S17" s="29">
        <v>0.1305</v>
      </c>
      <c r="T17" s="29">
        <v>1.6E-2</v>
      </c>
      <c r="U17" s="29">
        <v>4.7000000000000002E-3</v>
      </c>
      <c r="V17" s="16">
        <v>7.3800000000000005E-4</v>
      </c>
      <c r="W17" s="16">
        <v>0.92594279999999995</v>
      </c>
      <c r="X17" s="8"/>
      <c r="Y17" s="177">
        <v>147599</v>
      </c>
      <c r="Z17" s="29">
        <v>0.134405</v>
      </c>
      <c r="AA17" s="29">
        <v>2.0390999999999999E-2</v>
      </c>
      <c r="AB17" s="29">
        <v>5.4180000000000001E-3</v>
      </c>
      <c r="AC17" s="16">
        <v>1.6799999999999999E-4</v>
      </c>
      <c r="AD17" s="1">
        <v>130976</v>
      </c>
      <c r="AE17" s="4">
        <v>0.13120000000000001</v>
      </c>
      <c r="AF17" s="4">
        <v>2.1389999999999999E-2</v>
      </c>
      <c r="AG17" s="4">
        <v>5.79E-3</v>
      </c>
      <c r="AH17" s="5">
        <v>2.1900000000000001E-4</v>
      </c>
      <c r="AI17" s="8"/>
      <c r="AJ17" s="1">
        <v>56538</v>
      </c>
      <c r="AK17" s="4">
        <v>0.1295</v>
      </c>
      <c r="AL17" s="4">
        <v>4.3119999999999999E-3</v>
      </c>
      <c r="AM17" s="4">
        <v>8.8610000000000008E-3</v>
      </c>
      <c r="AN17" s="5">
        <v>0.62660000000000005</v>
      </c>
      <c r="AO17" s="5">
        <v>0.53059999999999996</v>
      </c>
      <c r="AP17" s="4"/>
      <c r="AQ17" s="8"/>
      <c r="AR17" s="177">
        <v>5872</v>
      </c>
      <c r="AS17" s="177">
        <v>0.12595000000000001</v>
      </c>
      <c r="AT17" s="29">
        <v>0.01</v>
      </c>
      <c r="AU17" s="29">
        <v>2.38277E-2</v>
      </c>
      <c r="AV17" s="16">
        <v>0.67471999999999999</v>
      </c>
      <c r="AW17" s="43">
        <v>0.99963199999999997</v>
      </c>
      <c r="AX17" s="4"/>
    </row>
    <row r="18" spans="1:50" x14ac:dyDescent="0.25">
      <c r="A18" s="1" t="s">
        <v>900</v>
      </c>
      <c r="B18" s="1301">
        <v>12</v>
      </c>
      <c r="C18" s="1" t="s">
        <v>51</v>
      </c>
      <c r="D18" s="1">
        <v>3</v>
      </c>
      <c r="E18" s="1">
        <v>52558008</v>
      </c>
      <c r="F18" s="60" t="s">
        <v>915</v>
      </c>
      <c r="G18" s="2" t="s">
        <v>52</v>
      </c>
      <c r="H18" s="1233" t="s">
        <v>53</v>
      </c>
      <c r="I18" s="1" t="s">
        <v>23</v>
      </c>
      <c r="J18" s="1" t="s">
        <v>17</v>
      </c>
      <c r="K18" s="8"/>
      <c r="L18" s="177">
        <v>223921</v>
      </c>
      <c r="M18" s="29">
        <v>0.45540000000000003</v>
      </c>
      <c r="N18" s="29">
        <v>1.5100000000000001E-2</v>
      </c>
      <c r="O18" s="29">
        <v>3.0000000000000001E-3</v>
      </c>
      <c r="P18" s="16">
        <v>6.92E-7</v>
      </c>
      <c r="Q18" s="13">
        <v>6.73232E-2</v>
      </c>
      <c r="R18" s="19">
        <v>190960</v>
      </c>
      <c r="S18" s="29">
        <v>0.43369999999999997</v>
      </c>
      <c r="T18" s="29">
        <v>1.7000000000000001E-2</v>
      </c>
      <c r="U18" s="29">
        <v>3.3E-3</v>
      </c>
      <c r="V18" s="16">
        <v>2.23E-7</v>
      </c>
      <c r="W18" s="16">
        <v>0.1143533</v>
      </c>
      <c r="X18" s="8"/>
      <c r="Y18" s="177">
        <v>161740</v>
      </c>
      <c r="Z18" s="29">
        <v>0.462065</v>
      </c>
      <c r="AA18" s="29">
        <v>1.7854999999999999E-2</v>
      </c>
      <c r="AB18" s="29">
        <v>3.6120000000000002E-3</v>
      </c>
      <c r="AC18" s="16">
        <v>7.6899999999999996E-7</v>
      </c>
      <c r="AD18" s="1">
        <v>128779</v>
      </c>
      <c r="AE18" s="4">
        <v>0.43091000000000002</v>
      </c>
      <c r="AF18" s="4">
        <v>2.138E-2</v>
      </c>
      <c r="AG18" s="4">
        <v>4.0299999999999997E-3</v>
      </c>
      <c r="AH18" s="5">
        <v>1.08E-7</v>
      </c>
      <c r="AI18" s="8"/>
      <c r="AJ18" s="1">
        <v>56309</v>
      </c>
      <c r="AK18" s="4">
        <v>0.44130000000000003</v>
      </c>
      <c r="AL18" s="4">
        <v>1.051E-2</v>
      </c>
      <c r="AM18" s="4">
        <v>5.9940000000000002E-3</v>
      </c>
      <c r="AN18" s="5">
        <v>7.9659999999999995E-2</v>
      </c>
      <c r="AO18" s="5">
        <v>0.5655</v>
      </c>
      <c r="AP18" s="4"/>
      <c r="AQ18" s="8"/>
      <c r="AR18" s="177">
        <v>5872</v>
      </c>
      <c r="AS18" s="177">
        <v>0.42359999999999998</v>
      </c>
      <c r="AT18" s="29">
        <v>-7.0000000000000001E-3</v>
      </c>
      <c r="AU18" s="29">
        <v>1.6058900000000001E-2</v>
      </c>
      <c r="AV18" s="16">
        <v>0.66291199999999995</v>
      </c>
      <c r="AW18" s="43">
        <v>0.99944200000000005</v>
      </c>
      <c r="AX18" s="4"/>
    </row>
    <row r="19" spans="1:50" x14ac:dyDescent="0.25">
      <c r="A19" s="1" t="s">
        <v>900</v>
      </c>
      <c r="B19" s="1301"/>
      <c r="C19" s="1" t="s">
        <v>55</v>
      </c>
      <c r="D19" s="1">
        <v>3</v>
      </c>
      <c r="E19" s="1">
        <v>52833805</v>
      </c>
      <c r="F19" s="60" t="s">
        <v>916</v>
      </c>
      <c r="G19" s="2" t="s">
        <v>56</v>
      </c>
      <c r="H19" s="1233"/>
      <c r="I19" s="1" t="s">
        <v>17</v>
      </c>
      <c r="J19" s="1" t="s">
        <v>16</v>
      </c>
      <c r="K19" s="8"/>
      <c r="L19" s="177">
        <v>225458</v>
      </c>
      <c r="M19" s="29">
        <v>0.54720000000000002</v>
      </c>
      <c r="N19" s="29">
        <v>1.3899999999999999E-2</v>
      </c>
      <c r="O19" s="29">
        <v>3.0000000000000001E-3</v>
      </c>
      <c r="P19" s="16">
        <v>2.7700000000000002E-6</v>
      </c>
      <c r="Q19" s="13">
        <v>0.40022659999999999</v>
      </c>
      <c r="R19" s="19">
        <v>192196</v>
      </c>
      <c r="S19" s="29">
        <v>0.54210000000000003</v>
      </c>
      <c r="T19" s="29">
        <v>1.72E-2</v>
      </c>
      <c r="U19" s="29">
        <v>3.2000000000000002E-3</v>
      </c>
      <c r="V19" s="16">
        <v>6.9699999999999995E-8</v>
      </c>
      <c r="W19" s="16">
        <v>0.77558009999999999</v>
      </c>
      <c r="X19" s="8"/>
      <c r="Y19" s="177">
        <v>163051</v>
      </c>
      <c r="Z19" s="29">
        <v>0.54632700000000001</v>
      </c>
      <c r="AA19" s="29">
        <v>1.5099E-2</v>
      </c>
      <c r="AB19" s="29">
        <v>3.5750000000000001E-3</v>
      </c>
      <c r="AC19" s="16">
        <v>2.41E-5</v>
      </c>
      <c r="AD19" s="1">
        <v>129789</v>
      </c>
      <c r="AE19" s="4">
        <v>0.53818999999999995</v>
      </c>
      <c r="AF19" s="4">
        <v>2.0480000000000002E-2</v>
      </c>
      <c r="AG19" s="4">
        <v>3.98E-3</v>
      </c>
      <c r="AH19" s="5">
        <v>2.6399999999999998E-7</v>
      </c>
      <c r="AI19" s="8"/>
      <c r="AJ19" s="1">
        <v>56535</v>
      </c>
      <c r="AK19" s="4">
        <v>0.55049999999999999</v>
      </c>
      <c r="AL19" s="4">
        <v>1.43E-2</v>
      </c>
      <c r="AM19" s="4">
        <v>5.9699999999999996E-3</v>
      </c>
      <c r="AN19" s="5">
        <v>1.6619999999999999E-2</v>
      </c>
      <c r="AO19" s="5">
        <v>0.66180000000000005</v>
      </c>
      <c r="AP19" s="4"/>
      <c r="AQ19" s="8"/>
      <c r="AR19" s="177">
        <v>5872</v>
      </c>
      <c r="AS19" s="177">
        <v>0.54373000000000005</v>
      </c>
      <c r="AT19" s="29">
        <v>-1E-3</v>
      </c>
      <c r="AU19" s="29">
        <v>1.2175399999999999E-2</v>
      </c>
      <c r="AV19" s="16">
        <v>0.93454099999999996</v>
      </c>
      <c r="AW19" s="43">
        <v>0.99976799999999999</v>
      </c>
      <c r="AX19" s="4"/>
    </row>
    <row r="20" spans="1:50" x14ac:dyDescent="0.25">
      <c r="A20" s="1" t="s">
        <v>900</v>
      </c>
      <c r="B20" s="1301">
        <v>13</v>
      </c>
      <c r="C20" s="1" t="s">
        <v>58</v>
      </c>
      <c r="D20" s="1">
        <v>3</v>
      </c>
      <c r="E20" s="1">
        <v>129137188</v>
      </c>
      <c r="F20" s="60" t="s">
        <v>917</v>
      </c>
      <c r="G20" s="2" t="s">
        <v>59</v>
      </c>
      <c r="H20" s="1233" t="s">
        <v>60</v>
      </c>
      <c r="I20" s="1" t="s">
        <v>17</v>
      </c>
      <c r="J20" s="1" t="s">
        <v>23</v>
      </c>
      <c r="K20" s="8"/>
      <c r="L20" s="177">
        <v>226690</v>
      </c>
      <c r="M20" s="29">
        <v>0.93669999999999998</v>
      </c>
      <c r="N20" s="29">
        <v>1.7999999999999999E-2</v>
      </c>
      <c r="O20" s="29">
        <v>6.1000000000000004E-3</v>
      </c>
      <c r="P20" s="16">
        <v>3.0620000000000001E-3</v>
      </c>
      <c r="Q20" s="13">
        <v>9.31E-5</v>
      </c>
      <c r="R20" s="19">
        <v>193428</v>
      </c>
      <c r="S20" s="29">
        <v>0.92959999999999998</v>
      </c>
      <c r="T20" s="29">
        <v>1.95E-2</v>
      </c>
      <c r="U20" s="29">
        <v>6.1999999999999998E-3</v>
      </c>
      <c r="V20" s="16">
        <v>1.7639999999999999E-3</v>
      </c>
      <c r="W20" s="16">
        <v>7.8499999999999997E-5</v>
      </c>
      <c r="X20" s="8"/>
      <c r="Y20" s="177">
        <v>164238</v>
      </c>
      <c r="Z20" s="29">
        <v>0.94054099999999996</v>
      </c>
      <c r="AA20" s="29">
        <v>1.2253E-2</v>
      </c>
      <c r="AB20" s="29">
        <v>7.3769999999999999E-3</v>
      </c>
      <c r="AC20" s="16">
        <v>9.6699999999999994E-2</v>
      </c>
      <c r="AD20" s="1">
        <v>130976</v>
      </c>
      <c r="AE20" s="4">
        <v>0.93006999999999995</v>
      </c>
      <c r="AF20" s="4">
        <v>1.4019999999999999E-2</v>
      </c>
      <c r="AG20" s="4">
        <v>7.6299999999999996E-3</v>
      </c>
      <c r="AH20" s="5">
        <v>6.6400000000000001E-2</v>
      </c>
      <c r="AI20" s="8"/>
      <c r="AJ20" s="1">
        <v>56580</v>
      </c>
      <c r="AK20" s="4">
        <v>0.92864000000000002</v>
      </c>
      <c r="AL20" s="4">
        <v>3.3099999999999997E-2</v>
      </c>
      <c r="AM20" s="4">
        <v>1.1480000000000001E-2</v>
      </c>
      <c r="AN20" s="5">
        <v>3.9459999999999999E-3</v>
      </c>
      <c r="AO20" s="5">
        <v>0.48599999999999999</v>
      </c>
      <c r="AP20" s="4"/>
      <c r="AQ20" s="8"/>
      <c r="AR20" s="177">
        <v>5872</v>
      </c>
      <c r="AS20" s="177">
        <v>0.92795000000000005</v>
      </c>
      <c r="AT20" s="29">
        <v>0.01</v>
      </c>
      <c r="AU20" s="29">
        <v>3.2109800000000001E-2</v>
      </c>
      <c r="AV20" s="16">
        <v>0.75547299999999995</v>
      </c>
      <c r="AW20" s="43">
        <v>0.99748199999999998</v>
      </c>
      <c r="AX20" s="4"/>
    </row>
    <row r="21" spans="1:50" x14ac:dyDescent="0.25">
      <c r="A21" s="1" t="s">
        <v>900</v>
      </c>
      <c r="B21" s="1301"/>
      <c r="C21" s="1" t="s">
        <v>62</v>
      </c>
      <c r="D21" s="1">
        <v>3</v>
      </c>
      <c r="E21" s="1">
        <v>129284818</v>
      </c>
      <c r="F21" s="1303" t="s">
        <v>216</v>
      </c>
      <c r="G21" s="2" t="s">
        <v>63</v>
      </c>
      <c r="H21" s="1233"/>
      <c r="I21" s="1" t="s">
        <v>16</v>
      </c>
      <c r="J21" s="1" t="s">
        <v>17</v>
      </c>
      <c r="K21" s="8"/>
      <c r="L21" s="177">
        <v>226650</v>
      </c>
      <c r="M21" s="29">
        <v>0.7359</v>
      </c>
      <c r="N21" s="29">
        <v>4.4999999999999997E-3</v>
      </c>
      <c r="O21" s="29">
        <v>3.3999999999999998E-3</v>
      </c>
      <c r="P21" s="16">
        <v>0.18529999999999999</v>
      </c>
      <c r="Q21" s="13">
        <v>1.5699999999999999E-5</v>
      </c>
      <c r="R21" s="19">
        <v>193388</v>
      </c>
      <c r="S21" s="29">
        <v>0.72289999999999999</v>
      </c>
      <c r="T21" s="29">
        <v>5.1999999999999998E-3</v>
      </c>
      <c r="U21" s="29">
        <v>3.5999999999999999E-3</v>
      </c>
      <c r="V21" s="16">
        <v>0.1474</v>
      </c>
      <c r="W21" s="16">
        <v>1.7399999999999999E-5</v>
      </c>
      <c r="X21" s="8"/>
      <c r="Y21" s="177">
        <v>164238</v>
      </c>
      <c r="Z21" s="29">
        <v>0.74844999999999995</v>
      </c>
      <c r="AA21" s="29">
        <v>2.4239999999999999E-3</v>
      </c>
      <c r="AB21" s="29">
        <v>4.0460000000000001E-3</v>
      </c>
      <c r="AC21" s="16">
        <v>0.54900000000000004</v>
      </c>
      <c r="AD21" s="1">
        <v>130976</v>
      </c>
      <c r="AE21" s="4">
        <v>0.73099000000000003</v>
      </c>
      <c r="AF21" s="4">
        <v>3.13E-3</v>
      </c>
      <c r="AG21" s="4">
        <v>4.4200000000000003E-3</v>
      </c>
      <c r="AH21" s="5">
        <v>0.47899999999999998</v>
      </c>
      <c r="AI21" s="8"/>
      <c r="AJ21" s="1">
        <v>56540</v>
      </c>
      <c r="AK21" s="4">
        <v>0.71260000000000001</v>
      </c>
      <c r="AL21" s="4">
        <v>1.095E-2</v>
      </c>
      <c r="AM21" s="4">
        <v>6.5630000000000003E-3</v>
      </c>
      <c r="AN21" s="5">
        <v>9.5170000000000005E-2</v>
      </c>
      <c r="AO21" s="5">
        <v>4.0349999999999997E-2</v>
      </c>
      <c r="AP21" s="4"/>
      <c r="AQ21" s="8"/>
      <c r="AR21" s="177">
        <v>5872</v>
      </c>
      <c r="AS21" s="177">
        <v>0.68118999999999996</v>
      </c>
      <c r="AT21" s="29">
        <v>-2E-3</v>
      </c>
      <c r="AU21" s="29">
        <v>1.5496599999999999E-2</v>
      </c>
      <c r="AV21" s="16">
        <v>0.89731000000000005</v>
      </c>
      <c r="AW21" s="43">
        <v>0.99964799999999998</v>
      </c>
      <c r="AX21" s="4"/>
    </row>
    <row r="22" spans="1:50" x14ac:dyDescent="0.25">
      <c r="A22" s="1" t="s">
        <v>900</v>
      </c>
      <c r="B22" s="1301"/>
      <c r="C22" s="1" t="s">
        <v>215</v>
      </c>
      <c r="D22" s="1">
        <v>3</v>
      </c>
      <c r="E22" s="1">
        <v>129293256</v>
      </c>
      <c r="F22" s="1303"/>
      <c r="G22" s="2" t="s">
        <v>217</v>
      </c>
      <c r="H22" s="1233"/>
      <c r="I22" s="1" t="s">
        <v>23</v>
      </c>
      <c r="J22" s="1" t="s">
        <v>17</v>
      </c>
      <c r="K22" s="8"/>
      <c r="L22" s="177">
        <v>226681</v>
      </c>
      <c r="M22" s="29">
        <v>0.60850000000000004</v>
      </c>
      <c r="N22" s="29">
        <v>3.0999999999999999E-3</v>
      </c>
      <c r="O22" s="29">
        <v>3.0999999999999999E-3</v>
      </c>
      <c r="P22" s="16">
        <v>0.31059999999999999</v>
      </c>
      <c r="Q22" s="13">
        <v>4.9819999999999997E-4</v>
      </c>
      <c r="R22" s="19">
        <v>193419</v>
      </c>
      <c r="S22" s="29">
        <v>0.62219999999999998</v>
      </c>
      <c r="T22" s="29">
        <v>4.1000000000000003E-3</v>
      </c>
      <c r="U22" s="29">
        <v>3.3E-3</v>
      </c>
      <c r="V22" s="16">
        <v>0.21540000000000001</v>
      </c>
      <c r="W22" s="16">
        <v>1.6200000000000001E-4</v>
      </c>
      <c r="X22" s="8"/>
      <c r="Y22" s="177">
        <v>164238</v>
      </c>
      <c r="Z22" s="29">
        <v>0.60636699999999999</v>
      </c>
      <c r="AA22" s="29">
        <v>3.1470000000000001E-3</v>
      </c>
      <c r="AB22" s="29">
        <v>3.5899999999999999E-3</v>
      </c>
      <c r="AC22" s="16">
        <v>0.38100000000000001</v>
      </c>
      <c r="AD22" s="1">
        <v>130976</v>
      </c>
      <c r="AE22" s="4">
        <v>0.62592999999999999</v>
      </c>
      <c r="AF22" s="4">
        <v>4.6600000000000001E-3</v>
      </c>
      <c r="AG22" s="4">
        <v>4.0400000000000002E-3</v>
      </c>
      <c r="AH22" s="5">
        <v>0.249</v>
      </c>
      <c r="AI22" s="8"/>
      <c r="AJ22" s="1">
        <v>56571</v>
      </c>
      <c r="AK22" s="4">
        <v>0.61550000000000005</v>
      </c>
      <c r="AL22" s="4">
        <v>3.0620000000000001E-3</v>
      </c>
      <c r="AM22" s="4">
        <v>6.0819999999999997E-3</v>
      </c>
      <c r="AN22" s="5">
        <v>0.61470000000000002</v>
      </c>
      <c r="AO22" s="5">
        <v>0.95620000000000005</v>
      </c>
      <c r="AP22" s="4"/>
      <c r="AQ22" s="8"/>
      <c r="AR22" s="177">
        <v>5872</v>
      </c>
      <c r="AS22" s="177">
        <v>0.60001000000000004</v>
      </c>
      <c r="AT22" s="29">
        <v>2E-3</v>
      </c>
      <c r="AU22" s="29">
        <v>2.0692100000000001E-2</v>
      </c>
      <c r="AV22" s="16">
        <v>0.92300000000000004</v>
      </c>
      <c r="AW22" s="43">
        <v>0.99819100000000005</v>
      </c>
      <c r="AX22" s="4"/>
    </row>
    <row r="23" spans="1:50" x14ac:dyDescent="0.25">
      <c r="A23" s="1" t="s">
        <v>900</v>
      </c>
      <c r="B23" s="1301">
        <v>14</v>
      </c>
      <c r="C23" s="1" t="s">
        <v>65</v>
      </c>
      <c r="D23" s="1">
        <v>4</v>
      </c>
      <c r="E23" s="1">
        <v>89625427</v>
      </c>
      <c r="F23" s="60" t="s">
        <v>918</v>
      </c>
      <c r="G23" s="2" t="s">
        <v>66</v>
      </c>
      <c r="H23" s="1233" t="s">
        <v>67</v>
      </c>
      <c r="I23" s="1" t="s">
        <v>24</v>
      </c>
      <c r="J23" s="1" t="s">
        <v>17</v>
      </c>
      <c r="K23" s="8"/>
      <c r="L23" s="177">
        <v>222556</v>
      </c>
      <c r="M23" s="29">
        <v>0.8387</v>
      </c>
      <c r="N23" s="29">
        <v>7.4999999999999997E-3</v>
      </c>
      <c r="O23" s="29">
        <v>4.1000000000000003E-3</v>
      </c>
      <c r="P23" s="16">
        <v>6.6119999999999998E-2</v>
      </c>
      <c r="Q23" s="13">
        <v>4.0799999999999999E-6</v>
      </c>
      <c r="R23" s="19">
        <v>189294</v>
      </c>
      <c r="S23" s="29">
        <v>0.83740000000000003</v>
      </c>
      <c r="T23" s="29">
        <v>7.7999999999999996E-3</v>
      </c>
      <c r="U23" s="29">
        <v>4.4000000000000003E-3</v>
      </c>
      <c r="V23" s="16">
        <v>7.6770000000000005E-2</v>
      </c>
      <c r="W23" s="16">
        <v>1.6399999999999999E-5</v>
      </c>
      <c r="X23" s="8"/>
      <c r="Y23" s="177">
        <v>160136</v>
      </c>
      <c r="Z23" s="29">
        <v>0.84095399999999998</v>
      </c>
      <c r="AA23" s="29">
        <v>5.1240000000000001E-3</v>
      </c>
      <c r="AB23" s="29">
        <v>4.829E-3</v>
      </c>
      <c r="AC23" s="16">
        <v>0.28899999999999998</v>
      </c>
      <c r="AD23" s="1">
        <v>126874</v>
      </c>
      <c r="AE23" s="4">
        <v>0.83962999999999999</v>
      </c>
      <c r="AF23" s="4">
        <v>4.9899999999999996E-3</v>
      </c>
      <c r="AG23" s="4">
        <v>5.4099999999999999E-3</v>
      </c>
      <c r="AH23" s="5">
        <v>0.35599999999999998</v>
      </c>
      <c r="AI23" s="8"/>
      <c r="AJ23" s="1">
        <v>56548</v>
      </c>
      <c r="AK23" s="4">
        <v>0.83760000000000001</v>
      </c>
      <c r="AL23" s="4">
        <v>1.09E-2</v>
      </c>
      <c r="AM23" s="4">
        <v>8.0669999999999995E-3</v>
      </c>
      <c r="AN23" s="5">
        <v>0.17660000000000001</v>
      </c>
      <c r="AO23" s="5">
        <v>0.49730000000000002</v>
      </c>
      <c r="AP23" s="4"/>
      <c r="AQ23" s="8"/>
      <c r="AR23" s="177">
        <v>5872</v>
      </c>
      <c r="AS23" s="177">
        <v>0.80505000000000004</v>
      </c>
      <c r="AT23" s="29">
        <v>2.7E-2</v>
      </c>
      <c r="AU23" s="29">
        <v>2.0317999999999999E-2</v>
      </c>
      <c r="AV23" s="16">
        <v>0.183891</v>
      </c>
      <c r="AW23" s="43">
        <v>0.99799199999999999</v>
      </c>
      <c r="AX23" s="4"/>
    </row>
    <row r="24" spans="1:50" x14ac:dyDescent="0.25">
      <c r="A24" s="1" t="s">
        <v>900</v>
      </c>
      <c r="B24" s="1301"/>
      <c r="C24" s="1" t="s">
        <v>69</v>
      </c>
      <c r="D24" s="1">
        <v>4</v>
      </c>
      <c r="E24" s="1">
        <v>89668859</v>
      </c>
      <c r="F24" s="60" t="s">
        <v>919</v>
      </c>
      <c r="G24" s="2" t="s">
        <v>70</v>
      </c>
      <c r="H24" s="1233"/>
      <c r="I24" s="1" t="s">
        <v>17</v>
      </c>
      <c r="J24" s="1" t="s">
        <v>23</v>
      </c>
      <c r="K24" s="8"/>
      <c r="L24" s="177">
        <v>226680</v>
      </c>
      <c r="M24" s="29">
        <v>0.81610000000000005</v>
      </c>
      <c r="N24" s="29">
        <v>5.4999999999999997E-3</v>
      </c>
      <c r="O24" s="29">
        <v>3.8E-3</v>
      </c>
      <c r="P24" s="16">
        <v>0.15210000000000001</v>
      </c>
      <c r="Q24" s="13">
        <v>9.5600000000000006E-5</v>
      </c>
      <c r="R24" s="19">
        <v>193418</v>
      </c>
      <c r="S24" s="29">
        <v>0.82640000000000002</v>
      </c>
      <c r="T24" s="29">
        <v>5.8999999999999999E-3</v>
      </c>
      <c r="U24" s="29">
        <v>4.1999999999999997E-3</v>
      </c>
      <c r="V24" s="16">
        <v>0.1656</v>
      </c>
      <c r="W24" s="16">
        <v>5.4400000000000001E-5</v>
      </c>
      <c r="X24" s="8"/>
      <c r="Y24" s="177">
        <v>164238</v>
      </c>
      <c r="Z24" s="29">
        <v>0.81457100000000005</v>
      </c>
      <c r="AA24" s="29">
        <v>4.79E-3</v>
      </c>
      <c r="AB24" s="29">
        <v>4.5110000000000003E-3</v>
      </c>
      <c r="AC24" s="16">
        <v>0.28799999999999998</v>
      </c>
      <c r="AD24" s="1">
        <v>130976</v>
      </c>
      <c r="AE24" s="4">
        <v>0.82948</v>
      </c>
      <c r="AF24" s="4">
        <v>5.11E-3</v>
      </c>
      <c r="AG24" s="4">
        <v>5.1799999999999997E-3</v>
      </c>
      <c r="AH24" s="5">
        <v>0.32400000000000001</v>
      </c>
      <c r="AI24" s="8"/>
      <c r="AJ24" s="1">
        <v>56570</v>
      </c>
      <c r="AK24" s="4">
        <v>0.82430000000000003</v>
      </c>
      <c r="AL24" s="4">
        <v>6.5170000000000002E-3</v>
      </c>
      <c r="AM24" s="4">
        <v>7.8429999999999993E-3</v>
      </c>
      <c r="AN24" s="5">
        <v>0.40600000000000003</v>
      </c>
      <c r="AO24" s="5">
        <v>2.5020000000000001E-2</v>
      </c>
      <c r="AP24" s="4"/>
      <c r="AQ24" s="8"/>
      <c r="AR24" s="177">
        <v>5872</v>
      </c>
      <c r="AS24" s="177">
        <v>0.79269000000000001</v>
      </c>
      <c r="AT24" s="29">
        <v>1.2999999999999999E-2</v>
      </c>
      <c r="AU24" s="29">
        <v>2.0276599999999999E-2</v>
      </c>
      <c r="AV24" s="16">
        <v>0.52143700000000004</v>
      </c>
      <c r="AW24" s="43">
        <v>0.99926300000000001</v>
      </c>
      <c r="AX24" s="4"/>
    </row>
    <row r="25" spans="1:50" x14ac:dyDescent="0.25">
      <c r="A25" s="1" t="s">
        <v>900</v>
      </c>
      <c r="B25" s="904">
        <v>15</v>
      </c>
      <c r="C25" s="1" t="s">
        <v>72</v>
      </c>
      <c r="D25" s="1">
        <v>4</v>
      </c>
      <c r="E25" s="1">
        <v>120528327</v>
      </c>
      <c r="F25" s="60" t="s">
        <v>73</v>
      </c>
      <c r="G25" s="2" t="s">
        <v>74</v>
      </c>
      <c r="H25" s="2" t="s">
        <v>1</v>
      </c>
      <c r="I25" s="1" t="s">
        <v>24</v>
      </c>
      <c r="J25" s="1" t="s">
        <v>16</v>
      </c>
      <c r="K25" s="8"/>
      <c r="L25" s="177">
        <v>219069</v>
      </c>
      <c r="M25" s="29">
        <v>0.1865</v>
      </c>
      <c r="N25" s="29">
        <v>6.8999999999999999E-3</v>
      </c>
      <c r="O25" s="29">
        <v>3.8999999999999998E-3</v>
      </c>
      <c r="P25" s="16">
        <v>7.5170000000000001E-2</v>
      </c>
      <c r="Q25" s="13">
        <v>5.1836E-3</v>
      </c>
      <c r="R25" s="19">
        <v>185807</v>
      </c>
      <c r="S25" s="29">
        <v>0.188</v>
      </c>
      <c r="T25" s="29">
        <v>1.06E-2</v>
      </c>
      <c r="U25" s="29">
        <v>4.1999999999999997E-3</v>
      </c>
      <c r="V25" s="16">
        <v>1.091E-2</v>
      </c>
      <c r="W25" s="16">
        <v>2.85335E-2</v>
      </c>
      <c r="X25" s="8"/>
      <c r="Y25" s="177">
        <v>156613</v>
      </c>
      <c r="Z25" s="29">
        <v>0.18729100000000001</v>
      </c>
      <c r="AA25" s="29">
        <v>8.9390000000000008E-3</v>
      </c>
      <c r="AB25" s="29">
        <v>4.5779999999999996E-3</v>
      </c>
      <c r="AC25" s="16">
        <v>5.0900000000000001E-2</v>
      </c>
      <c r="AD25" s="1">
        <v>123351</v>
      </c>
      <c r="AE25" s="4">
        <v>0.18964</v>
      </c>
      <c r="AF25" s="4">
        <v>1.5089999999999999E-2</v>
      </c>
      <c r="AG25" s="4">
        <v>5.1200000000000004E-3</v>
      </c>
      <c r="AH25" s="5">
        <v>3.2000000000000002E-3</v>
      </c>
      <c r="AI25" s="8"/>
      <c r="AJ25" s="1">
        <v>56584</v>
      </c>
      <c r="AK25" s="4">
        <v>0.1804</v>
      </c>
      <c r="AL25" s="4">
        <v>3.0130000000000001E-3</v>
      </c>
      <c r="AM25" s="4">
        <v>7.7409999999999996E-3</v>
      </c>
      <c r="AN25" s="5">
        <v>0.69710000000000005</v>
      </c>
      <c r="AO25" s="5">
        <v>0.69630000000000003</v>
      </c>
      <c r="AP25" s="4"/>
      <c r="AQ25" s="8"/>
      <c r="AR25" s="177">
        <v>5872</v>
      </c>
      <c r="AS25" s="177">
        <v>0.21446000000000001</v>
      </c>
      <c r="AT25" s="29">
        <v>-7.0000000000000001E-3</v>
      </c>
      <c r="AU25" s="29">
        <v>2.03803E-2</v>
      </c>
      <c r="AV25" s="16">
        <v>0.73124599999999995</v>
      </c>
      <c r="AW25" s="43">
        <v>0.99999700000000002</v>
      </c>
      <c r="AX25" s="4"/>
    </row>
    <row r="26" spans="1:50" x14ac:dyDescent="0.25">
      <c r="A26" s="1" t="s">
        <v>900</v>
      </c>
      <c r="B26" s="904">
        <v>16</v>
      </c>
      <c r="C26" s="1" t="s">
        <v>76</v>
      </c>
      <c r="D26" s="1">
        <v>5</v>
      </c>
      <c r="E26" s="1">
        <v>176516631</v>
      </c>
      <c r="F26" s="60" t="s">
        <v>77</v>
      </c>
      <c r="G26" s="2" t="s">
        <v>78</v>
      </c>
      <c r="H26" s="889" t="s">
        <v>79</v>
      </c>
      <c r="I26" s="1" t="s">
        <v>16</v>
      </c>
      <c r="J26" s="1" t="s">
        <v>24</v>
      </c>
      <c r="K26" s="8"/>
      <c r="L26" s="177">
        <v>209944</v>
      </c>
      <c r="M26" s="29">
        <v>0.23799999999999999</v>
      </c>
      <c r="N26" s="29">
        <v>2.6100000000000002E-2</v>
      </c>
      <c r="O26" s="29">
        <v>3.5999999999999999E-3</v>
      </c>
      <c r="P26" s="16">
        <v>4.51E-13</v>
      </c>
      <c r="Q26" s="13">
        <v>0.20593120000000001</v>
      </c>
      <c r="R26" s="19">
        <v>193321</v>
      </c>
      <c r="S26" s="29">
        <v>0.23769999999999999</v>
      </c>
      <c r="T26" s="29">
        <v>2.5600000000000001E-2</v>
      </c>
      <c r="U26" s="29">
        <v>3.7000000000000002E-3</v>
      </c>
      <c r="V26" s="16">
        <v>7.1E-12</v>
      </c>
      <c r="W26" s="16">
        <v>0.1842374</v>
      </c>
      <c r="X26" s="8"/>
      <c r="Y26" s="177">
        <v>147599</v>
      </c>
      <c r="Z26" s="29">
        <v>0.23386899999999999</v>
      </c>
      <c r="AA26" s="29">
        <v>2.538E-2</v>
      </c>
      <c r="AB26" s="29">
        <v>4.3639999999999998E-3</v>
      </c>
      <c r="AC26" s="16">
        <v>6.0200000000000003E-9</v>
      </c>
      <c r="AD26" s="1">
        <v>130976</v>
      </c>
      <c r="AE26" s="4">
        <v>0.23300999999999999</v>
      </c>
      <c r="AF26" s="4">
        <v>2.4549999999999999E-2</v>
      </c>
      <c r="AG26" s="4">
        <v>4.5999999999999999E-3</v>
      </c>
      <c r="AH26" s="5">
        <v>9.6999999999999995E-8</v>
      </c>
      <c r="AI26" s="8"/>
      <c r="AJ26" s="1">
        <v>56473</v>
      </c>
      <c r="AK26" s="4">
        <v>0.24840000000000001</v>
      </c>
      <c r="AL26" s="4">
        <v>3.2050000000000002E-2</v>
      </c>
      <c r="AM26" s="4">
        <v>6.8700000000000002E-3</v>
      </c>
      <c r="AN26" s="5">
        <v>3.0900000000000001E-6</v>
      </c>
      <c r="AO26" s="5">
        <v>0.79849999999999999</v>
      </c>
      <c r="AP26" s="4"/>
      <c r="AQ26" s="8"/>
      <c r="AR26" s="177">
        <v>5872</v>
      </c>
      <c r="AS26" s="177">
        <v>0.23629</v>
      </c>
      <c r="AT26" s="29">
        <v>-1E-3</v>
      </c>
      <c r="AU26" s="29">
        <v>1.7473700000000002E-2</v>
      </c>
      <c r="AV26" s="16">
        <v>0.95436299999999996</v>
      </c>
      <c r="AW26" s="43">
        <v>0.99906600000000001</v>
      </c>
      <c r="AX26" s="4"/>
    </row>
    <row r="27" spans="1:50" x14ac:dyDescent="0.25">
      <c r="A27" s="1" t="s">
        <v>900</v>
      </c>
      <c r="B27" s="904">
        <v>17</v>
      </c>
      <c r="C27" s="1" t="s">
        <v>920</v>
      </c>
      <c r="D27" s="1">
        <v>5</v>
      </c>
      <c r="E27" s="1">
        <v>180017643</v>
      </c>
      <c r="F27" s="60" t="s">
        <v>921</v>
      </c>
      <c r="G27" s="2" t="s">
        <v>922</v>
      </c>
      <c r="I27" s="1" t="s">
        <v>23</v>
      </c>
      <c r="J27" s="1" t="s">
        <v>17</v>
      </c>
      <c r="K27" s="8"/>
      <c r="L27" s="177">
        <v>97989</v>
      </c>
      <c r="M27" s="29">
        <v>1E-3</v>
      </c>
      <c r="N27" s="29">
        <v>0.35089999999999999</v>
      </c>
      <c r="O27" s="29">
        <v>7.2499999999999995E-2</v>
      </c>
      <c r="P27" s="16">
        <v>1.2899999999999999E-6</v>
      </c>
      <c r="Q27" s="13">
        <v>1.6786499999999999E-2</v>
      </c>
      <c r="R27" s="19">
        <v>68930</v>
      </c>
      <c r="S27" s="29">
        <v>1.2999999999999999E-3</v>
      </c>
      <c r="T27" s="29">
        <v>0.37969999999999998</v>
      </c>
      <c r="U27" s="29">
        <v>7.6700000000000004E-2</v>
      </c>
      <c r="V27" s="16">
        <v>7.3200000000000004E-7</v>
      </c>
      <c r="W27" s="16">
        <v>7.6122999999999998E-3</v>
      </c>
      <c r="X27" s="8"/>
      <c r="Y27" s="177">
        <v>97989</v>
      </c>
      <c r="Z27" s="29">
        <v>9.9299999999999996E-4</v>
      </c>
      <c r="AA27" s="29">
        <v>0.35094999999999998</v>
      </c>
      <c r="AB27" s="29">
        <v>7.2498999999999994E-2</v>
      </c>
      <c r="AC27" s="16">
        <v>1.2899999999999999E-6</v>
      </c>
      <c r="AD27" s="1">
        <v>68930</v>
      </c>
      <c r="AE27" s="4">
        <v>1.2700000000000001E-3</v>
      </c>
      <c r="AF27" s="4">
        <v>0.37972</v>
      </c>
      <c r="AG27" s="4">
        <v>7.6670000000000002E-2</v>
      </c>
      <c r="AH27" s="5">
        <v>7.3200000000000004E-7</v>
      </c>
      <c r="AI27" s="8"/>
      <c r="AK27" s="4"/>
      <c r="AL27" s="4"/>
      <c r="AM27" s="4"/>
      <c r="AN27" s="5"/>
      <c r="AO27" s="5"/>
      <c r="AP27" s="4"/>
      <c r="AQ27" s="8"/>
      <c r="AR27" s="177"/>
      <c r="AS27" s="177"/>
      <c r="AT27" s="29"/>
      <c r="AU27" s="29"/>
      <c r="AV27" s="16"/>
      <c r="AW27" s="43"/>
      <c r="AX27" s="4"/>
    </row>
    <row r="28" spans="1:50" x14ac:dyDescent="0.25">
      <c r="A28" s="1" t="s">
        <v>900</v>
      </c>
      <c r="B28" s="904">
        <v>18</v>
      </c>
      <c r="C28" s="1" t="s">
        <v>81</v>
      </c>
      <c r="D28" s="1">
        <v>6</v>
      </c>
      <c r="E28" s="1">
        <v>7211818</v>
      </c>
      <c r="F28" s="60" t="s">
        <v>82</v>
      </c>
      <c r="G28" s="2" t="s">
        <v>83</v>
      </c>
      <c r="H28" s="889" t="s">
        <v>84</v>
      </c>
      <c r="I28" s="1" t="s">
        <v>24</v>
      </c>
      <c r="J28" s="1" t="s">
        <v>16</v>
      </c>
      <c r="K28" s="8"/>
      <c r="L28" s="177">
        <v>226654</v>
      </c>
      <c r="M28" s="29">
        <v>0.55740000000000001</v>
      </c>
      <c r="N28" s="29">
        <v>2.0199999999999999E-2</v>
      </c>
      <c r="O28" s="29">
        <v>3.0000000000000001E-3</v>
      </c>
      <c r="P28" s="16">
        <v>1.36E-11</v>
      </c>
      <c r="Q28" s="13">
        <v>0.14740420000000001</v>
      </c>
      <c r="R28" s="19">
        <v>193392</v>
      </c>
      <c r="S28" s="29">
        <v>0.57179999999999997</v>
      </c>
      <c r="T28" s="29">
        <v>2.0899999999999998E-2</v>
      </c>
      <c r="U28" s="29">
        <v>3.2000000000000002E-3</v>
      </c>
      <c r="V28" s="16">
        <v>1.2199999999999999E-10</v>
      </c>
      <c r="W28" s="16">
        <v>8.2309400000000005E-2</v>
      </c>
      <c r="X28" s="8"/>
      <c r="Y28" s="177">
        <v>164238</v>
      </c>
      <c r="Z28" s="29">
        <v>0.55178799999999995</v>
      </c>
      <c r="AA28" s="29">
        <v>1.8933999999999999E-2</v>
      </c>
      <c r="AB28" s="29">
        <v>3.529E-3</v>
      </c>
      <c r="AC28" s="16">
        <v>8.0599999999999994E-8</v>
      </c>
      <c r="AD28" s="1">
        <v>130976</v>
      </c>
      <c r="AE28" s="4">
        <v>0.57181000000000004</v>
      </c>
      <c r="AF28" s="4">
        <v>1.9539999999999998E-2</v>
      </c>
      <c r="AG28" s="4">
        <v>3.96E-3</v>
      </c>
      <c r="AH28" s="5">
        <v>7.7599999999999996E-7</v>
      </c>
      <c r="AI28" s="8"/>
      <c r="AJ28" s="1">
        <v>56544</v>
      </c>
      <c r="AK28" s="4">
        <v>0.57230000000000003</v>
      </c>
      <c r="AL28" s="4">
        <v>2.2849999999999999E-2</v>
      </c>
      <c r="AM28" s="4">
        <v>6.0039999999999998E-3</v>
      </c>
      <c r="AN28" s="5">
        <v>1.418E-4</v>
      </c>
      <c r="AO28" s="5">
        <v>0.40920000000000001</v>
      </c>
      <c r="AP28" s="4"/>
      <c r="AQ28" s="8"/>
      <c r="AR28" s="177">
        <v>5872</v>
      </c>
      <c r="AS28" s="177">
        <v>0.56674000000000002</v>
      </c>
      <c r="AT28" s="29">
        <v>2.9000000000000001E-2</v>
      </c>
      <c r="AU28" s="29">
        <v>1.6575699999999999E-2</v>
      </c>
      <c r="AV28" s="16">
        <v>8.0196500000000004E-2</v>
      </c>
      <c r="AW28" s="43">
        <v>0.99970300000000001</v>
      </c>
      <c r="AX28" s="4"/>
    </row>
    <row r="29" spans="1:50" x14ac:dyDescent="0.25">
      <c r="A29" s="1" t="s">
        <v>900</v>
      </c>
      <c r="B29" s="904">
        <v>19</v>
      </c>
      <c r="C29" s="1" t="s">
        <v>86</v>
      </c>
      <c r="D29" s="1">
        <v>6</v>
      </c>
      <c r="E29" s="1">
        <v>26108117</v>
      </c>
      <c r="F29" s="60" t="s">
        <v>87</v>
      </c>
      <c r="G29" s="2" t="s">
        <v>88</v>
      </c>
      <c r="I29" s="1" t="s">
        <v>23</v>
      </c>
      <c r="J29" s="1" t="s">
        <v>17</v>
      </c>
      <c r="K29" s="8"/>
      <c r="L29" s="177">
        <v>104955</v>
      </c>
      <c r="M29" s="29">
        <v>1.5E-3</v>
      </c>
      <c r="N29" s="29">
        <v>0.24640000000000001</v>
      </c>
      <c r="O29" s="29">
        <v>5.8000000000000003E-2</v>
      </c>
      <c r="P29" s="16">
        <v>2.1500000000000001E-5</v>
      </c>
      <c r="Q29" s="13">
        <v>0.62699170000000004</v>
      </c>
      <c r="R29" s="19">
        <v>74835</v>
      </c>
      <c r="S29" s="29">
        <v>1.9E-3</v>
      </c>
      <c r="T29" s="29">
        <v>0.26619999999999999</v>
      </c>
      <c r="U29" s="29">
        <v>5.96E-2</v>
      </c>
      <c r="V29" s="16">
        <v>7.9899999999999997E-6</v>
      </c>
      <c r="W29" s="16">
        <v>0.36417680000000002</v>
      </c>
      <c r="X29" s="8"/>
      <c r="Y29" s="177">
        <v>104955</v>
      </c>
      <c r="Z29" s="29">
        <v>1.4599999999999999E-3</v>
      </c>
      <c r="AA29" s="29">
        <v>0.24640200000000001</v>
      </c>
      <c r="AB29" s="29">
        <v>5.7993999999999997E-2</v>
      </c>
      <c r="AC29" s="16">
        <v>2.1500000000000001E-5</v>
      </c>
      <c r="AD29" s="1">
        <v>74835</v>
      </c>
      <c r="AE29" s="4">
        <v>1.9400000000000001E-3</v>
      </c>
      <c r="AF29" s="4">
        <v>0.26623000000000002</v>
      </c>
      <c r="AG29" s="4">
        <v>5.9619999999999999E-2</v>
      </c>
      <c r="AH29" s="5">
        <v>7.9799999999999998E-6</v>
      </c>
      <c r="AI29" s="8"/>
      <c r="AJ29" s="1">
        <v>56646</v>
      </c>
      <c r="AK29" s="4">
        <v>0</v>
      </c>
      <c r="AL29" s="4"/>
      <c r="AM29" s="4"/>
      <c r="AN29" s="5"/>
      <c r="AO29" s="5"/>
      <c r="AP29" s="4">
        <v>0.38246999999999998</v>
      </c>
      <c r="AQ29" s="8"/>
      <c r="AR29" s="177"/>
      <c r="AS29" s="177"/>
      <c r="AT29" s="29"/>
      <c r="AU29" s="29"/>
      <c r="AV29" s="16"/>
      <c r="AW29" s="43"/>
      <c r="AX29" s="4"/>
    </row>
    <row r="30" spans="1:50" x14ac:dyDescent="0.25">
      <c r="A30" s="1" t="s">
        <v>900</v>
      </c>
      <c r="B30" s="904">
        <v>20</v>
      </c>
      <c r="C30" s="1" t="s">
        <v>90</v>
      </c>
      <c r="D30" s="1">
        <v>6</v>
      </c>
      <c r="E30" s="1">
        <v>34827085</v>
      </c>
      <c r="F30" s="60" t="s">
        <v>91</v>
      </c>
      <c r="G30" s="2" t="s">
        <v>92</v>
      </c>
      <c r="H30" s="889" t="s">
        <v>93</v>
      </c>
      <c r="I30" s="1" t="s">
        <v>16</v>
      </c>
      <c r="J30" s="1" t="s">
        <v>23</v>
      </c>
      <c r="K30" s="8"/>
      <c r="L30" s="177">
        <v>168354</v>
      </c>
      <c r="M30" s="29">
        <v>0.84699999999999998</v>
      </c>
      <c r="N30" s="29">
        <v>1.72E-2</v>
      </c>
      <c r="O30" s="29">
        <v>4.8999999999999998E-3</v>
      </c>
      <c r="P30" s="16">
        <v>4.0220000000000002E-4</v>
      </c>
      <c r="Q30" s="13">
        <v>0.27479439999999999</v>
      </c>
      <c r="R30" s="19">
        <v>141268</v>
      </c>
      <c r="S30" s="29">
        <v>0.83550000000000002</v>
      </c>
      <c r="T30" s="29">
        <v>1.7600000000000001E-2</v>
      </c>
      <c r="U30" s="29">
        <v>5.1000000000000004E-3</v>
      </c>
      <c r="V30" s="16">
        <v>5.9179999999999996E-4</v>
      </c>
      <c r="W30" s="16">
        <v>0.41233819999999999</v>
      </c>
      <c r="X30" s="8"/>
      <c r="Y30" s="177">
        <v>106502</v>
      </c>
      <c r="Z30" s="29">
        <v>0.85058500000000004</v>
      </c>
      <c r="AA30" s="29">
        <v>1.9123000000000001E-2</v>
      </c>
      <c r="AB30" s="29">
        <v>6.2589999999999998E-3</v>
      </c>
      <c r="AC30" s="16">
        <v>2.2499999999999998E-3</v>
      </c>
      <c r="AD30" s="1">
        <v>79416</v>
      </c>
      <c r="AE30" s="4">
        <v>0.83069999999999999</v>
      </c>
      <c r="AF30" s="4">
        <v>2.0279999999999999E-2</v>
      </c>
      <c r="AG30" s="4">
        <v>6.8700000000000002E-3</v>
      </c>
      <c r="AH30" s="5">
        <v>3.16E-3</v>
      </c>
      <c r="AI30" s="8"/>
      <c r="AJ30" s="1">
        <v>55980</v>
      </c>
      <c r="AK30" s="4">
        <v>0.83889999999999998</v>
      </c>
      <c r="AL30" s="4">
        <v>1.154E-2</v>
      </c>
      <c r="AM30" s="4">
        <v>8.1359999999999991E-3</v>
      </c>
      <c r="AN30" s="5">
        <v>0.15609999999999999</v>
      </c>
      <c r="AO30" s="5">
        <v>4.032E-3</v>
      </c>
      <c r="AP30" s="4"/>
      <c r="AQ30" s="8"/>
      <c r="AR30" s="177">
        <v>5872</v>
      </c>
      <c r="AS30" s="177">
        <v>0.86565999999999999</v>
      </c>
      <c r="AT30" s="29">
        <v>3.9E-2</v>
      </c>
      <c r="AU30" s="29">
        <v>2.4420299999999999E-2</v>
      </c>
      <c r="AV30" s="16">
        <v>0.11025799999999999</v>
      </c>
      <c r="AW30" s="43">
        <v>0.99997899999999995</v>
      </c>
      <c r="AX30" s="4"/>
    </row>
    <row r="31" spans="1:50" x14ac:dyDescent="0.25">
      <c r="A31" s="1" t="s">
        <v>900</v>
      </c>
      <c r="B31" s="1301">
        <v>21</v>
      </c>
      <c r="C31" s="1" t="s">
        <v>95</v>
      </c>
      <c r="D31" s="1">
        <v>6</v>
      </c>
      <c r="E31" s="1">
        <v>127476516</v>
      </c>
      <c r="F31" s="199" t="s">
        <v>923</v>
      </c>
      <c r="G31" s="2" t="s">
        <v>96</v>
      </c>
      <c r="H31" s="1233" t="s">
        <v>97</v>
      </c>
      <c r="I31" s="1" t="s">
        <v>16</v>
      </c>
      <c r="J31" s="1" t="s">
        <v>24</v>
      </c>
      <c r="K31" s="8"/>
      <c r="L31" s="177">
        <v>226677</v>
      </c>
      <c r="M31" s="29">
        <v>0.54120000000000001</v>
      </c>
      <c r="N31" s="29">
        <v>1.84E-2</v>
      </c>
      <c r="O31" s="29">
        <v>3.0000000000000001E-3</v>
      </c>
      <c r="P31" s="16">
        <v>5.6100000000000003E-10</v>
      </c>
      <c r="Q31" s="13">
        <v>7.7400000000000002E-9</v>
      </c>
      <c r="R31" s="19">
        <v>193415</v>
      </c>
      <c r="S31" s="29">
        <v>0.53990000000000005</v>
      </c>
      <c r="T31" s="29">
        <v>2.0400000000000001E-2</v>
      </c>
      <c r="U31" s="29">
        <v>3.2000000000000002E-3</v>
      </c>
      <c r="V31" s="16">
        <v>1.8E-10</v>
      </c>
      <c r="W31" s="16">
        <v>4.3700000000000001E-8</v>
      </c>
      <c r="X31" s="8"/>
      <c r="Y31" s="177">
        <v>164238</v>
      </c>
      <c r="Z31" s="29">
        <v>0.53661700000000001</v>
      </c>
      <c r="AA31" s="29">
        <v>1.7971999999999998E-2</v>
      </c>
      <c r="AB31" s="29">
        <v>3.4910000000000002E-3</v>
      </c>
      <c r="AC31" s="16">
        <v>2.6399999999999998E-7</v>
      </c>
      <c r="AD31" s="1">
        <v>130976</v>
      </c>
      <c r="AE31" s="4">
        <v>0.53349000000000002</v>
      </c>
      <c r="AF31" s="4">
        <v>2.0899999999999998E-2</v>
      </c>
      <c r="AG31" s="4">
        <v>3.8999999999999998E-3</v>
      </c>
      <c r="AH31" s="5">
        <v>8.6599999999999995E-8</v>
      </c>
      <c r="AI31" s="8"/>
      <c r="AJ31" s="1">
        <v>56567</v>
      </c>
      <c r="AK31" s="4">
        <v>0.54659999999999997</v>
      </c>
      <c r="AL31" s="4">
        <v>2.0289999999999999E-2</v>
      </c>
      <c r="AM31" s="4">
        <v>5.9719999999999999E-3</v>
      </c>
      <c r="AN31" s="5">
        <v>6.7929999999999998E-4</v>
      </c>
      <c r="AO31" s="5">
        <v>2.3529999999999999E-2</v>
      </c>
      <c r="AP31" s="4"/>
      <c r="AQ31" s="8"/>
      <c r="AR31" s="177">
        <v>5872</v>
      </c>
      <c r="AS31" s="177">
        <v>0.60168999999999995</v>
      </c>
      <c r="AT31" s="29">
        <v>1.2999999999999999E-2</v>
      </c>
      <c r="AU31" s="29">
        <v>1.6378E-2</v>
      </c>
      <c r="AV31" s="16">
        <v>0.42734299999999997</v>
      </c>
      <c r="AW31" s="43">
        <v>0.99995800000000001</v>
      </c>
      <c r="AX31" s="4"/>
    </row>
    <row r="32" spans="1:50" x14ac:dyDescent="0.25">
      <c r="A32" s="1" t="s">
        <v>900</v>
      </c>
      <c r="B32" s="1301"/>
      <c r="C32" s="1" t="s">
        <v>99</v>
      </c>
      <c r="D32" s="1">
        <v>6</v>
      </c>
      <c r="E32" s="1">
        <v>127767954</v>
      </c>
      <c r="F32" s="1303" t="s">
        <v>924</v>
      </c>
      <c r="G32" s="2" t="s">
        <v>100</v>
      </c>
      <c r="H32" s="1233"/>
      <c r="I32" s="1" t="s">
        <v>16</v>
      </c>
      <c r="J32" s="1" t="s">
        <v>24</v>
      </c>
      <c r="K32" s="8"/>
      <c r="L32" s="177">
        <v>188079</v>
      </c>
      <c r="M32" s="29">
        <v>9.4999999999999998E-3</v>
      </c>
      <c r="N32" s="29">
        <v>5.7000000000000002E-2</v>
      </c>
      <c r="O32" s="29">
        <v>1.6799999999999999E-2</v>
      </c>
      <c r="P32" s="16">
        <v>6.7679999999999997E-4</v>
      </c>
      <c r="Q32" s="13">
        <v>1.9819999999999999E-4</v>
      </c>
      <c r="R32" s="19">
        <v>174652</v>
      </c>
      <c r="S32" s="29">
        <v>1.01E-2</v>
      </c>
      <c r="T32" s="29">
        <v>5.5800000000000002E-2</v>
      </c>
      <c r="U32" s="29">
        <v>1.6799999999999999E-2</v>
      </c>
      <c r="V32" s="16">
        <v>9.2279999999999999E-4</v>
      </c>
      <c r="W32" s="16">
        <v>1.3210000000000001E-4</v>
      </c>
      <c r="X32" s="8"/>
      <c r="Y32" s="177">
        <v>128734</v>
      </c>
      <c r="Z32" s="29">
        <v>8.6689999999999996E-3</v>
      </c>
      <c r="AA32" s="29">
        <v>6.0283999999999997E-2</v>
      </c>
      <c r="AB32" s="29">
        <v>2.1087000000000002E-2</v>
      </c>
      <c r="AC32" s="16">
        <v>4.2500000000000003E-3</v>
      </c>
      <c r="AD32" s="1">
        <v>115307</v>
      </c>
      <c r="AE32" s="4">
        <v>9.5499999999999995E-3</v>
      </c>
      <c r="AF32" s="4">
        <v>5.842E-2</v>
      </c>
      <c r="AG32" s="4">
        <v>2.1229999999999999E-2</v>
      </c>
      <c r="AH32" s="5">
        <v>5.94E-3</v>
      </c>
      <c r="AI32" s="8"/>
      <c r="AJ32" s="1">
        <v>53473</v>
      </c>
      <c r="AK32" s="4">
        <v>1.1350000000000001E-2</v>
      </c>
      <c r="AL32" s="4">
        <v>7.0010000000000003E-2</v>
      </c>
      <c r="AM32" s="4">
        <v>2.8979999999999999E-2</v>
      </c>
      <c r="AN32" s="5">
        <v>1.5709999999999998E-2</v>
      </c>
      <c r="AO32" s="5">
        <v>0.2319</v>
      </c>
      <c r="AP32" s="4"/>
      <c r="AQ32" s="8"/>
      <c r="AR32" s="177">
        <v>5872</v>
      </c>
      <c r="AS32" s="177">
        <v>7.6299999999999996E-3</v>
      </c>
      <c r="AT32" s="29">
        <v>-0.13900000000000001</v>
      </c>
      <c r="AU32" s="29">
        <v>9.2511300000000005E-2</v>
      </c>
      <c r="AV32" s="16">
        <v>0.132963</v>
      </c>
      <c r="AW32" s="43">
        <v>0.98762099999999997</v>
      </c>
      <c r="AX32" s="4"/>
    </row>
    <row r="33" spans="1:50" x14ac:dyDescent="0.25">
      <c r="A33" s="1" t="s">
        <v>900</v>
      </c>
      <c r="B33" s="1301"/>
      <c r="C33" s="1" t="s">
        <v>925</v>
      </c>
      <c r="D33" s="1">
        <v>6</v>
      </c>
      <c r="E33" s="1">
        <v>127771452</v>
      </c>
      <c r="F33" s="1303"/>
      <c r="G33" s="2" t="s">
        <v>926</v>
      </c>
      <c r="H33" s="1233"/>
      <c r="I33" s="1" t="s">
        <v>24</v>
      </c>
      <c r="J33" s="1" t="s">
        <v>23</v>
      </c>
      <c r="K33" s="8"/>
      <c r="L33" s="177">
        <v>209829</v>
      </c>
      <c r="M33" s="29">
        <v>0.58789999999999998</v>
      </c>
      <c r="N33" s="29">
        <v>8.8999999999999999E-3</v>
      </c>
      <c r="O33" s="29">
        <v>3.0999999999999999E-3</v>
      </c>
      <c r="P33" s="16">
        <v>4.1349999999999998E-3</v>
      </c>
      <c r="Q33" s="13">
        <v>0.90699030000000003</v>
      </c>
      <c r="R33" s="19">
        <v>193206</v>
      </c>
      <c r="S33" s="29">
        <v>0.60229999999999995</v>
      </c>
      <c r="T33" s="29">
        <v>9.4000000000000004E-3</v>
      </c>
      <c r="U33" s="29">
        <v>3.2000000000000002E-3</v>
      </c>
      <c r="V33" s="16">
        <v>3.8730000000000001E-3</v>
      </c>
      <c r="W33" s="16">
        <v>0.89201649999999999</v>
      </c>
      <c r="X33" s="8"/>
      <c r="Y33" s="177">
        <v>147599</v>
      </c>
      <c r="Z33" s="29">
        <v>0.57904699999999998</v>
      </c>
      <c r="AA33" s="29">
        <v>1.2741000000000001E-2</v>
      </c>
      <c r="AB33" s="29">
        <v>3.754E-3</v>
      </c>
      <c r="AC33" s="16">
        <v>6.8900000000000005E-4</v>
      </c>
      <c r="AD33" s="1">
        <v>130976</v>
      </c>
      <c r="AE33" s="4">
        <v>0.59952000000000005</v>
      </c>
      <c r="AF33" s="4">
        <v>1.3809999999999999E-2</v>
      </c>
      <c r="AG33" s="4">
        <v>3.9699999999999996E-3</v>
      </c>
      <c r="AH33" s="5">
        <v>5.04E-4</v>
      </c>
      <c r="AI33" s="8"/>
      <c r="AJ33" s="1">
        <v>56358</v>
      </c>
      <c r="AK33" s="4">
        <v>0.60980000000000001</v>
      </c>
      <c r="AL33" s="4">
        <v>9.1719999999999996E-4</v>
      </c>
      <c r="AM33" s="4">
        <v>6.1050000000000002E-3</v>
      </c>
      <c r="AN33" s="5">
        <v>0.88060000000000005</v>
      </c>
      <c r="AO33" s="5">
        <v>0.79859999999999998</v>
      </c>
      <c r="AP33" s="4"/>
      <c r="AQ33" s="8"/>
      <c r="AR33" s="177">
        <v>5872</v>
      </c>
      <c r="AS33" s="177">
        <v>0.59657000000000004</v>
      </c>
      <c r="AT33" s="29">
        <v>-2E-3</v>
      </c>
      <c r="AU33" s="29">
        <v>1.4297900000000001E-2</v>
      </c>
      <c r="AV33" s="16">
        <v>0.88875400000000004</v>
      </c>
      <c r="AW33" s="43">
        <v>0.99998600000000004</v>
      </c>
      <c r="AX33" s="4"/>
    </row>
    <row r="34" spans="1:50" x14ac:dyDescent="0.25">
      <c r="A34" s="1" t="s">
        <v>900</v>
      </c>
      <c r="B34" s="904">
        <v>22</v>
      </c>
      <c r="C34" s="1" t="s">
        <v>102</v>
      </c>
      <c r="D34" s="1">
        <v>7</v>
      </c>
      <c r="E34" s="1">
        <v>6449496</v>
      </c>
      <c r="F34" s="60" t="s">
        <v>103</v>
      </c>
      <c r="G34" s="2" t="s">
        <v>104</v>
      </c>
      <c r="I34" s="1" t="s">
        <v>17</v>
      </c>
      <c r="J34" s="1" t="s">
        <v>23</v>
      </c>
      <c r="K34" s="8"/>
      <c r="L34" s="177">
        <v>226385</v>
      </c>
      <c r="M34" s="29">
        <v>0.21759999999999999</v>
      </c>
      <c r="N34" s="29">
        <v>6.0000000000000001E-3</v>
      </c>
      <c r="O34" s="29">
        <v>3.5999999999999999E-3</v>
      </c>
      <c r="P34" s="16">
        <v>9.3450000000000005E-2</v>
      </c>
      <c r="Q34" s="13">
        <v>3.3766E-3</v>
      </c>
      <c r="R34" s="19">
        <v>193123</v>
      </c>
      <c r="S34" s="29">
        <v>0.22850000000000001</v>
      </c>
      <c r="T34" s="29">
        <v>7.0000000000000001E-3</v>
      </c>
      <c r="U34" s="29">
        <v>3.8E-3</v>
      </c>
      <c r="V34" s="16">
        <v>6.7369999999999999E-2</v>
      </c>
      <c r="W34" s="16">
        <v>6.6214000000000004E-3</v>
      </c>
      <c r="X34" s="8"/>
      <c r="Y34" s="177">
        <v>164238</v>
      </c>
      <c r="Z34" s="29">
        <v>0.205207</v>
      </c>
      <c r="AA34" s="29">
        <v>8.4449999999999994E-3</v>
      </c>
      <c r="AB34" s="29">
        <v>4.3140000000000001E-3</v>
      </c>
      <c r="AC34" s="16">
        <v>5.0299999999999997E-2</v>
      </c>
      <c r="AD34" s="1">
        <v>130976</v>
      </c>
      <c r="AE34" s="4">
        <v>0.21937000000000001</v>
      </c>
      <c r="AF34" s="4">
        <v>1.0319999999999999E-2</v>
      </c>
      <c r="AG34" s="4">
        <v>4.7000000000000002E-3</v>
      </c>
      <c r="AH34" s="5">
        <v>2.81E-2</v>
      </c>
      <c r="AI34" s="8"/>
      <c r="AJ34" s="1">
        <v>56275</v>
      </c>
      <c r="AK34" s="4">
        <v>0.2432</v>
      </c>
      <c r="AL34" s="4">
        <v>2.1429999999999999E-3</v>
      </c>
      <c r="AM34" s="4">
        <v>6.966E-3</v>
      </c>
      <c r="AN34" s="5">
        <v>0.75839999999999996</v>
      </c>
      <c r="AO34" s="5">
        <v>6.2539999999999998E-2</v>
      </c>
      <c r="AP34" s="4"/>
      <c r="AQ34" s="8"/>
      <c r="AR34" s="177">
        <v>5872</v>
      </c>
      <c r="AS34" s="177">
        <v>0.26845999999999998</v>
      </c>
      <c r="AT34" s="29">
        <v>-1.2E-2</v>
      </c>
      <c r="AU34" s="29">
        <v>1.9261899999999998E-2</v>
      </c>
      <c r="AV34" s="16">
        <v>0.53329099999999996</v>
      </c>
      <c r="AW34" s="43">
        <v>0.99964900000000001</v>
      </c>
      <c r="AX34" s="4"/>
    </row>
    <row r="35" spans="1:50" x14ac:dyDescent="0.25">
      <c r="A35" s="1" t="s">
        <v>900</v>
      </c>
      <c r="B35" s="904">
        <v>23</v>
      </c>
      <c r="C35" s="1" t="s">
        <v>927</v>
      </c>
      <c r="D35" s="1">
        <v>7</v>
      </c>
      <c r="E35" s="1">
        <v>47886522</v>
      </c>
      <c r="F35" s="60" t="s">
        <v>928</v>
      </c>
      <c r="G35" s="2" t="s">
        <v>929</v>
      </c>
      <c r="I35" s="1" t="s">
        <v>17</v>
      </c>
      <c r="J35" s="1" t="s">
        <v>23</v>
      </c>
      <c r="K35" s="8"/>
      <c r="L35" s="177">
        <v>205786</v>
      </c>
      <c r="M35" s="29">
        <v>0.99929999999999997</v>
      </c>
      <c r="N35" s="29">
        <v>0.30570000000000003</v>
      </c>
      <c r="O35" s="29">
        <v>6.6500000000000004E-2</v>
      </c>
      <c r="P35" s="16">
        <v>4.2599999999999999E-6</v>
      </c>
      <c r="Q35" s="13">
        <v>1.5277000000000001E-3</v>
      </c>
      <c r="R35" s="19">
        <v>173271</v>
      </c>
      <c r="S35" s="29">
        <v>0.99909999999999999</v>
      </c>
      <c r="T35" s="29">
        <v>0.3251</v>
      </c>
      <c r="U35" s="29">
        <v>6.7199999999999996E-2</v>
      </c>
      <c r="V35" s="16">
        <v>1.3400000000000001E-6</v>
      </c>
      <c r="W35" s="16">
        <v>1.4832999999999999E-3</v>
      </c>
      <c r="X35" s="8"/>
      <c r="Y35" s="177">
        <v>149140</v>
      </c>
      <c r="Z35" s="29">
        <v>0.99927200000000005</v>
      </c>
      <c r="AA35" s="29">
        <v>0.30968299999999999</v>
      </c>
      <c r="AB35" s="29">
        <v>6.7118999999999998E-2</v>
      </c>
      <c r="AC35" s="16">
        <v>3.9500000000000003E-6</v>
      </c>
      <c r="AD35" s="1">
        <v>116625</v>
      </c>
      <c r="AE35" s="4">
        <v>0.99909000000000003</v>
      </c>
      <c r="AF35" s="4">
        <v>0.32946999999999999</v>
      </c>
      <c r="AG35" s="4">
        <v>6.7890000000000006E-2</v>
      </c>
      <c r="AH35" s="5">
        <v>1.22E-6</v>
      </c>
      <c r="AI35" s="8"/>
      <c r="AJ35" s="1">
        <v>56646</v>
      </c>
      <c r="AK35" s="4">
        <v>0.99994000000000005</v>
      </c>
      <c r="AL35" s="4">
        <v>9.71336E-2</v>
      </c>
      <c r="AM35" s="4">
        <v>0.48838700000000002</v>
      </c>
      <c r="AN35" s="5">
        <v>0.84235099999999996</v>
      </c>
      <c r="AO35" s="5"/>
      <c r="AP35" s="4">
        <v>0.45768199999999998</v>
      </c>
      <c r="AQ35" s="8"/>
      <c r="AR35" s="177"/>
      <c r="AS35" s="177"/>
      <c r="AT35" s="29"/>
      <c r="AU35" s="29"/>
      <c r="AV35" s="16"/>
      <c r="AW35" s="43"/>
      <c r="AX35" s="4"/>
    </row>
    <row r="36" spans="1:50" x14ac:dyDescent="0.25">
      <c r="A36" s="1" t="s">
        <v>900</v>
      </c>
      <c r="B36" s="1301">
        <v>24</v>
      </c>
      <c r="C36" s="1" t="s">
        <v>106</v>
      </c>
      <c r="D36" s="1">
        <v>7</v>
      </c>
      <c r="E36" s="1">
        <v>73012042</v>
      </c>
      <c r="F36" s="1303" t="s">
        <v>107</v>
      </c>
      <c r="G36" s="2" t="s">
        <v>108</v>
      </c>
      <c r="H36" s="1235" t="s">
        <v>109</v>
      </c>
      <c r="I36" s="1" t="s">
        <v>24</v>
      </c>
      <c r="J36" s="1" t="s">
        <v>16</v>
      </c>
      <c r="K36" s="8"/>
      <c r="L36" s="177">
        <v>226710</v>
      </c>
      <c r="M36" s="29">
        <v>0.88060000000000005</v>
      </c>
      <c r="N36" s="29">
        <v>1.6E-2</v>
      </c>
      <c r="O36" s="29">
        <v>4.5999999999999999E-3</v>
      </c>
      <c r="P36" s="16">
        <v>5.0049999999999997E-4</v>
      </c>
      <c r="Q36" s="13">
        <v>0.14534749999999999</v>
      </c>
      <c r="R36" s="19">
        <v>193448</v>
      </c>
      <c r="S36" s="29">
        <v>0.87580000000000002</v>
      </c>
      <c r="T36" s="29">
        <v>1.6500000000000001E-2</v>
      </c>
      <c r="U36" s="29">
        <v>4.8999999999999998E-3</v>
      </c>
      <c r="V36" s="16">
        <v>7.2599999999999997E-4</v>
      </c>
      <c r="W36" s="16">
        <v>0.14982799999999999</v>
      </c>
      <c r="X36" s="8"/>
      <c r="Y36" s="177">
        <v>164238</v>
      </c>
      <c r="Z36" s="29">
        <v>0.88421700000000003</v>
      </c>
      <c r="AA36" s="29">
        <v>2.1807E-2</v>
      </c>
      <c r="AB36" s="29">
        <v>5.4799999999999996E-3</v>
      </c>
      <c r="AC36" s="16">
        <v>6.9200000000000002E-5</v>
      </c>
      <c r="AD36" s="1">
        <v>130976</v>
      </c>
      <c r="AE36" s="4">
        <v>0.87768000000000002</v>
      </c>
      <c r="AF36" s="4">
        <v>2.3709999999999998E-2</v>
      </c>
      <c r="AG36" s="4">
        <v>5.9899999999999997E-3</v>
      </c>
      <c r="AH36" s="5">
        <v>7.5199999999999998E-5</v>
      </c>
      <c r="AI36" s="8"/>
      <c r="AJ36" s="1">
        <v>56600</v>
      </c>
      <c r="AK36" s="4">
        <v>0.87129999999999996</v>
      </c>
      <c r="AL36" s="4">
        <v>4.5100000000000001E-3</v>
      </c>
      <c r="AM36" s="4">
        <v>8.8599999999999998E-3</v>
      </c>
      <c r="AN36" s="5">
        <v>0.61080000000000001</v>
      </c>
      <c r="AO36" s="5">
        <v>0.78710000000000002</v>
      </c>
      <c r="AP36" s="4"/>
      <c r="AQ36" s="8"/>
      <c r="AR36" s="177">
        <v>5872</v>
      </c>
      <c r="AS36" s="177">
        <v>0.87941999999999998</v>
      </c>
      <c r="AT36" s="29">
        <v>-1.6E-2</v>
      </c>
      <c r="AU36" s="29">
        <v>2.5554299999999999E-2</v>
      </c>
      <c r="AV36" s="16">
        <v>0.53123799999999999</v>
      </c>
      <c r="AW36" s="43">
        <v>0.99989499999999998</v>
      </c>
      <c r="AX36" s="4"/>
    </row>
    <row r="37" spans="1:50" x14ac:dyDescent="0.25">
      <c r="A37" s="1" t="s">
        <v>900</v>
      </c>
      <c r="B37" s="1301"/>
      <c r="C37" s="1" t="s">
        <v>111</v>
      </c>
      <c r="D37" s="1">
        <v>7</v>
      </c>
      <c r="E37" s="1">
        <v>73020337</v>
      </c>
      <c r="F37" s="1303"/>
      <c r="G37" s="2" t="s">
        <v>112</v>
      </c>
      <c r="H37" s="1233"/>
      <c r="I37" s="1" t="s">
        <v>17</v>
      </c>
      <c r="J37" s="1" t="s">
        <v>24</v>
      </c>
      <c r="K37" s="8"/>
      <c r="L37" s="177">
        <v>215797</v>
      </c>
      <c r="M37" s="29">
        <v>0.88160000000000005</v>
      </c>
      <c r="N37" s="29">
        <v>1.5100000000000001E-2</v>
      </c>
      <c r="O37" s="29">
        <v>4.7000000000000002E-3</v>
      </c>
      <c r="P37" s="16">
        <v>1.431E-3</v>
      </c>
      <c r="Q37" s="13">
        <v>5.7995199999999997E-2</v>
      </c>
      <c r="R37" s="19">
        <v>182535</v>
      </c>
      <c r="S37" s="29">
        <v>0.87590000000000001</v>
      </c>
      <c r="T37" s="29">
        <v>1.55E-2</v>
      </c>
      <c r="U37" s="29">
        <v>5.0000000000000001E-3</v>
      </c>
      <c r="V37" s="16">
        <v>2.0639999999999999E-3</v>
      </c>
      <c r="W37" s="16">
        <v>6.2659699999999999E-2</v>
      </c>
      <c r="X37" s="8"/>
      <c r="Y37" s="177">
        <v>153295</v>
      </c>
      <c r="Z37" s="29">
        <v>0.88612400000000002</v>
      </c>
      <c r="AA37" s="29">
        <v>2.1499000000000001E-2</v>
      </c>
      <c r="AB37" s="29">
        <v>5.7210000000000004E-3</v>
      </c>
      <c r="AC37" s="16">
        <v>1.7100000000000001E-4</v>
      </c>
      <c r="AD37" s="1">
        <v>120033</v>
      </c>
      <c r="AE37" s="4">
        <v>0.87819999999999998</v>
      </c>
      <c r="AF37" s="4">
        <v>2.342E-2</v>
      </c>
      <c r="AG37" s="4">
        <v>6.2700000000000004E-3</v>
      </c>
      <c r="AH37" s="5">
        <v>1.8799999999999999E-4</v>
      </c>
      <c r="AI37" s="8"/>
      <c r="AJ37" s="1">
        <v>56630</v>
      </c>
      <c r="AK37" s="4">
        <v>0.87070000000000003</v>
      </c>
      <c r="AL37" s="4">
        <v>2.8289999999999999E-3</v>
      </c>
      <c r="AM37" s="4">
        <v>8.8389999999999996E-3</v>
      </c>
      <c r="AN37" s="5">
        <v>0.74890000000000001</v>
      </c>
      <c r="AO37" s="5">
        <v>0.74880000000000002</v>
      </c>
      <c r="AP37" s="4"/>
      <c r="AQ37" s="8"/>
      <c r="AR37" s="177">
        <v>5872</v>
      </c>
      <c r="AS37" s="177">
        <v>0.88136999999999999</v>
      </c>
      <c r="AT37" s="29">
        <v>-1.2999999999999999E-2</v>
      </c>
      <c r="AU37" s="29">
        <v>2.6550399999999998E-2</v>
      </c>
      <c r="AV37" s="16">
        <v>0.62439199999999995</v>
      </c>
      <c r="AW37" s="43">
        <v>0.99983999999999995</v>
      </c>
      <c r="AX37" s="4"/>
    </row>
    <row r="38" spans="1:50" x14ac:dyDescent="0.25">
      <c r="A38" s="1" t="s">
        <v>900</v>
      </c>
      <c r="B38" s="904">
        <v>25</v>
      </c>
      <c r="C38" s="1" t="s">
        <v>930</v>
      </c>
      <c r="D38" s="1">
        <v>10</v>
      </c>
      <c r="E38" s="1">
        <v>64927823</v>
      </c>
      <c r="F38" s="60" t="s">
        <v>931</v>
      </c>
      <c r="G38" s="2" t="s">
        <v>932</v>
      </c>
      <c r="I38" s="1" t="s">
        <v>17</v>
      </c>
      <c r="J38" s="1" t="s">
        <v>24</v>
      </c>
      <c r="K38" s="8"/>
      <c r="L38" s="177">
        <v>222526</v>
      </c>
      <c r="M38" s="29">
        <v>0.51800000000000002</v>
      </c>
      <c r="N38" s="29">
        <v>5.8999999999999999E-3</v>
      </c>
      <c r="O38" s="29">
        <v>3.0000000000000001E-3</v>
      </c>
      <c r="P38" s="16">
        <v>5.0020000000000002E-2</v>
      </c>
      <c r="Q38" s="13">
        <v>9.6274200000000004E-2</v>
      </c>
      <c r="R38" s="19">
        <v>189264</v>
      </c>
      <c r="S38" s="29">
        <v>0.51690000000000003</v>
      </c>
      <c r="T38" s="29">
        <v>8.0000000000000002E-3</v>
      </c>
      <c r="U38" s="29">
        <v>3.3E-3</v>
      </c>
      <c r="V38" s="16">
        <v>1.44E-2</v>
      </c>
      <c r="W38" s="16">
        <v>0.22076309999999999</v>
      </c>
      <c r="X38" s="8"/>
      <c r="Y38" s="177">
        <v>160113</v>
      </c>
      <c r="Z38" s="29">
        <v>0.51619400000000004</v>
      </c>
      <c r="AA38" s="29">
        <v>6.365E-3</v>
      </c>
      <c r="AB38" s="29">
        <v>3.5669999999999999E-3</v>
      </c>
      <c r="AC38" s="16">
        <v>7.4399999999999994E-2</v>
      </c>
      <c r="AD38" s="1">
        <v>126851</v>
      </c>
      <c r="AE38" s="4">
        <v>0.51410999999999996</v>
      </c>
      <c r="AF38" s="4">
        <v>9.6100000000000005E-3</v>
      </c>
      <c r="AG38" s="4">
        <v>4.0000000000000001E-3</v>
      </c>
      <c r="AH38" s="5">
        <v>1.6299999999999999E-2</v>
      </c>
      <c r="AI38" s="8"/>
      <c r="AJ38" s="1">
        <v>56541</v>
      </c>
      <c r="AK38" s="4">
        <v>0.52839999999999998</v>
      </c>
      <c r="AL38" s="4">
        <v>7.9699999999999997E-3</v>
      </c>
      <c r="AM38" s="4">
        <v>5.9579999999999998E-3</v>
      </c>
      <c r="AN38" s="5">
        <v>0.18099999999999999</v>
      </c>
      <c r="AO38" s="5">
        <v>1.477E-2</v>
      </c>
      <c r="AP38" s="4"/>
      <c r="AQ38" s="8"/>
      <c r="AR38" s="177">
        <v>5872</v>
      </c>
      <c r="AS38" s="177">
        <v>0.47622999999999999</v>
      </c>
      <c r="AT38" s="29">
        <v>-0.02</v>
      </c>
      <c r="AU38" s="29">
        <v>1.6496799999999999E-2</v>
      </c>
      <c r="AV38" s="16">
        <v>0.22537699999999999</v>
      </c>
      <c r="AW38" s="43">
        <v>0.99998699999999996</v>
      </c>
      <c r="AX38" s="4"/>
    </row>
    <row r="39" spans="1:50" x14ac:dyDescent="0.25">
      <c r="A39" s="1" t="s">
        <v>900</v>
      </c>
      <c r="B39" s="904">
        <v>26</v>
      </c>
      <c r="C39" s="1" t="s">
        <v>114</v>
      </c>
      <c r="D39" s="1">
        <v>10</v>
      </c>
      <c r="E39" s="1">
        <v>95931087</v>
      </c>
      <c r="F39" s="60" t="s">
        <v>115</v>
      </c>
      <c r="G39" s="2" t="s">
        <v>116</v>
      </c>
      <c r="H39" s="891" t="s">
        <v>117</v>
      </c>
      <c r="I39" s="1" t="s">
        <v>23</v>
      </c>
      <c r="J39" s="1" t="s">
        <v>24</v>
      </c>
      <c r="K39" s="8"/>
      <c r="L39" s="177">
        <v>226727</v>
      </c>
      <c r="M39" s="29">
        <v>0.17680000000000001</v>
      </c>
      <c r="N39" s="29">
        <v>1.67E-2</v>
      </c>
      <c r="O39" s="29">
        <v>3.8999999999999998E-3</v>
      </c>
      <c r="P39" s="16">
        <v>1.8499999999999999E-5</v>
      </c>
      <c r="Q39" s="13">
        <v>0.59136100000000003</v>
      </c>
      <c r="R39" s="19">
        <v>193465</v>
      </c>
      <c r="S39" s="29">
        <v>0.1628</v>
      </c>
      <c r="T39" s="29">
        <v>1.8599999999999998E-2</v>
      </c>
      <c r="U39" s="29">
        <v>4.3E-3</v>
      </c>
      <c r="V39" s="16">
        <v>1.8E-5</v>
      </c>
      <c r="W39" s="16">
        <v>0.7216205</v>
      </c>
      <c r="X39" s="8"/>
      <c r="Y39" s="177">
        <v>164238</v>
      </c>
      <c r="Z39" s="29">
        <v>0.17990300000000001</v>
      </c>
      <c r="AA39" s="29">
        <v>1.5519E-2</v>
      </c>
      <c r="AB39" s="29">
        <v>4.5620000000000001E-3</v>
      </c>
      <c r="AC39" s="16">
        <v>6.7100000000000005E-4</v>
      </c>
      <c r="AD39" s="1">
        <v>130976</v>
      </c>
      <c r="AE39" s="4">
        <v>0.16008</v>
      </c>
      <c r="AF39" s="4">
        <v>1.7940000000000001E-2</v>
      </c>
      <c r="AG39" s="4">
        <v>5.3099999999999996E-3</v>
      </c>
      <c r="AH39" s="5">
        <v>7.2199999999999999E-4</v>
      </c>
      <c r="AI39" s="8"/>
      <c r="AJ39" s="1">
        <v>56617</v>
      </c>
      <c r="AK39" s="4">
        <v>0.17069999999999999</v>
      </c>
      <c r="AL39" s="4">
        <v>2.1229999999999999E-2</v>
      </c>
      <c r="AM39" s="4">
        <v>7.9220000000000002E-3</v>
      </c>
      <c r="AN39" s="5">
        <v>7.3699999999999998E-3</v>
      </c>
      <c r="AO39" s="5">
        <v>0.14230000000000001</v>
      </c>
      <c r="AP39" s="4"/>
      <c r="AQ39" s="8"/>
      <c r="AR39" s="177">
        <v>5872</v>
      </c>
      <c r="AS39" s="177">
        <v>0.14510999999999999</v>
      </c>
      <c r="AT39" s="29">
        <v>8.0000000000000002E-3</v>
      </c>
      <c r="AU39" s="29">
        <v>2.4154800000000001E-2</v>
      </c>
      <c r="AV39" s="16">
        <v>0.74049600000000004</v>
      </c>
      <c r="AW39" s="43">
        <v>0.99970300000000001</v>
      </c>
      <c r="AX39" s="4"/>
    </row>
    <row r="40" spans="1:50" ht="30" x14ac:dyDescent="0.25">
      <c r="A40" s="1" t="s">
        <v>900</v>
      </c>
      <c r="B40" s="904">
        <v>27</v>
      </c>
      <c r="C40" s="1" t="s">
        <v>933</v>
      </c>
      <c r="D40" s="1">
        <v>10</v>
      </c>
      <c r="E40" s="1">
        <v>104572963</v>
      </c>
      <c r="F40" s="60" t="s">
        <v>934</v>
      </c>
      <c r="G40" s="2" t="s">
        <v>935</v>
      </c>
      <c r="H40" s="920" t="s">
        <v>5275</v>
      </c>
      <c r="I40" s="1" t="s">
        <v>23</v>
      </c>
      <c r="J40" s="1" t="s">
        <v>17</v>
      </c>
      <c r="K40" s="8"/>
      <c r="L40" s="177">
        <v>225335</v>
      </c>
      <c r="M40" s="29">
        <v>0.40570000000000001</v>
      </c>
      <c r="N40" s="29">
        <v>-3.8E-3</v>
      </c>
      <c r="O40" s="29">
        <v>3.0000000000000001E-3</v>
      </c>
      <c r="P40" s="16">
        <v>0.21210000000000001</v>
      </c>
      <c r="Q40" s="13">
        <v>6.7960000000000004E-4</v>
      </c>
      <c r="R40" s="19">
        <v>192073</v>
      </c>
      <c r="S40" s="29">
        <v>0.40550000000000003</v>
      </c>
      <c r="T40" s="29">
        <v>-6.1000000000000004E-3</v>
      </c>
      <c r="U40" s="29">
        <v>3.3E-3</v>
      </c>
      <c r="V40" s="16">
        <v>6.2539999999999998E-2</v>
      </c>
      <c r="W40" s="16">
        <v>3.4E-5</v>
      </c>
      <c r="X40" s="8"/>
      <c r="Y40" s="177">
        <v>163051</v>
      </c>
      <c r="Z40" s="29">
        <v>0.40674399999999999</v>
      </c>
      <c r="AA40" s="29">
        <v>-8.3299999999999997E-4</v>
      </c>
      <c r="AB40" s="29">
        <v>3.5839999999999999E-3</v>
      </c>
      <c r="AC40" s="16">
        <v>0.81599999999999995</v>
      </c>
      <c r="AD40" s="1">
        <v>129789</v>
      </c>
      <c r="AE40" s="4">
        <v>0.40664</v>
      </c>
      <c r="AF40" s="4">
        <v>-3.5699999999999998E-3</v>
      </c>
      <c r="AG40" s="4">
        <v>4.0099999999999997E-3</v>
      </c>
      <c r="AH40" s="5">
        <v>0.374</v>
      </c>
      <c r="AI40" s="8"/>
      <c r="AJ40" s="1">
        <v>56412</v>
      </c>
      <c r="AK40" s="4">
        <v>0.40029999999999999</v>
      </c>
      <c r="AL40" s="4">
        <v>-1.366E-2</v>
      </c>
      <c r="AM40" s="4">
        <v>6.0879999999999997E-3</v>
      </c>
      <c r="AN40" s="5">
        <v>2.4830000000000001E-2</v>
      </c>
      <c r="AO40" s="5">
        <v>5.3420000000000002E-2</v>
      </c>
      <c r="AP40" s="4"/>
      <c r="AQ40" s="8"/>
      <c r="AR40" s="177">
        <v>5872</v>
      </c>
      <c r="AS40" s="177">
        <v>0.42199999999999999</v>
      </c>
      <c r="AT40" s="29">
        <v>5.0000000000000001E-3</v>
      </c>
      <c r="AU40" s="29">
        <v>1.53221E-2</v>
      </c>
      <c r="AV40" s="16">
        <v>0.74417699999999998</v>
      </c>
      <c r="AW40" s="43">
        <v>0.99991399999999997</v>
      </c>
      <c r="AX40" s="4"/>
    </row>
    <row r="41" spans="1:50" x14ac:dyDescent="0.25">
      <c r="A41" s="1" t="s">
        <v>900</v>
      </c>
      <c r="B41" s="904">
        <v>28</v>
      </c>
      <c r="C41" s="1" t="s">
        <v>119</v>
      </c>
      <c r="D41" s="1">
        <v>10</v>
      </c>
      <c r="E41" s="1">
        <v>123279643</v>
      </c>
      <c r="F41" s="60" t="s">
        <v>120</v>
      </c>
      <c r="G41" s="2" t="s">
        <v>96</v>
      </c>
      <c r="I41" s="1" t="s">
        <v>23</v>
      </c>
      <c r="J41" s="1" t="s">
        <v>17</v>
      </c>
      <c r="K41" s="8"/>
      <c r="L41" s="177">
        <v>113541</v>
      </c>
      <c r="M41" s="29">
        <v>1.1000000000000001E-3</v>
      </c>
      <c r="N41" s="29">
        <v>0.32750000000000001</v>
      </c>
      <c r="O41" s="29">
        <v>6.5100000000000005E-2</v>
      </c>
      <c r="P41" s="16">
        <v>4.89E-7</v>
      </c>
      <c r="Q41" s="13">
        <v>0.10897859999999999</v>
      </c>
      <c r="R41" s="19">
        <v>83489</v>
      </c>
      <c r="S41" s="29">
        <v>1.2999999999999999E-3</v>
      </c>
      <c r="T41" s="29">
        <v>0.36580000000000001</v>
      </c>
      <c r="U41" s="29">
        <v>6.88E-2</v>
      </c>
      <c r="V41" s="16">
        <v>1.04E-7</v>
      </c>
      <c r="W41" s="16">
        <v>3.6247099999999997E-2</v>
      </c>
      <c r="X41" s="8"/>
      <c r="Y41" s="177">
        <v>113541</v>
      </c>
      <c r="Z41" s="29">
        <v>1.083E-3</v>
      </c>
      <c r="AA41" s="29">
        <v>0.32750400000000002</v>
      </c>
      <c r="AB41" s="29">
        <v>6.5104999999999996E-2</v>
      </c>
      <c r="AC41" s="16">
        <v>4.89E-7</v>
      </c>
      <c r="AD41" s="1">
        <v>83489</v>
      </c>
      <c r="AE41" s="4">
        <v>1.32E-3</v>
      </c>
      <c r="AF41" s="4">
        <v>0.36582999999999999</v>
      </c>
      <c r="AG41" s="4">
        <v>6.8779999999999994E-2</v>
      </c>
      <c r="AH41" s="5">
        <v>1.04E-7</v>
      </c>
      <c r="AI41" s="8"/>
      <c r="AK41" s="4"/>
      <c r="AL41" s="4"/>
      <c r="AM41" s="4"/>
      <c r="AN41" s="5"/>
      <c r="AO41" s="5"/>
      <c r="AP41" s="4"/>
      <c r="AQ41" s="8"/>
      <c r="AR41" s="177"/>
      <c r="AS41" s="177"/>
      <c r="AT41" s="29"/>
      <c r="AU41" s="29"/>
      <c r="AV41" s="16"/>
      <c r="AW41" s="43"/>
      <c r="AX41" s="4"/>
    </row>
    <row r="42" spans="1:50" x14ac:dyDescent="0.25">
      <c r="A42" s="1" t="s">
        <v>900</v>
      </c>
      <c r="B42" s="904">
        <v>29</v>
      </c>
      <c r="C42" s="1" t="s">
        <v>122</v>
      </c>
      <c r="D42" s="1">
        <v>11</v>
      </c>
      <c r="E42" s="1">
        <v>64031241</v>
      </c>
      <c r="F42" s="60" t="s">
        <v>123</v>
      </c>
      <c r="G42" s="2" t="s">
        <v>124</v>
      </c>
      <c r="H42" s="889" t="s">
        <v>125</v>
      </c>
      <c r="I42" s="1" t="s">
        <v>23</v>
      </c>
      <c r="J42" s="1" t="s">
        <v>17</v>
      </c>
      <c r="K42" s="8"/>
      <c r="L42" s="177">
        <v>226713</v>
      </c>
      <c r="M42" s="29">
        <v>6.08E-2</v>
      </c>
      <c r="N42" s="29">
        <v>1.61E-2</v>
      </c>
      <c r="O42" s="29">
        <v>6.1999999999999998E-3</v>
      </c>
      <c r="P42" s="16">
        <v>9.5600000000000008E-3</v>
      </c>
      <c r="Q42" s="13">
        <v>1.27E-4</v>
      </c>
      <c r="R42" s="19">
        <v>193451</v>
      </c>
      <c r="S42" s="29">
        <v>6.7100000000000007E-2</v>
      </c>
      <c r="T42" s="29">
        <v>1.2200000000000001E-2</v>
      </c>
      <c r="U42" s="29">
        <v>6.4000000000000003E-3</v>
      </c>
      <c r="V42" s="16">
        <v>5.7829999999999999E-2</v>
      </c>
      <c r="W42" s="16">
        <v>2.4600000000000002E-5</v>
      </c>
      <c r="X42" s="8"/>
      <c r="Y42" s="177">
        <v>164238</v>
      </c>
      <c r="Z42" s="29">
        <v>6.0316000000000002E-2</v>
      </c>
      <c r="AA42" s="29">
        <v>1.0087E-2</v>
      </c>
      <c r="AB42" s="29">
        <v>7.3369999999999998E-3</v>
      </c>
      <c r="AC42" s="16">
        <v>0.16900000000000001</v>
      </c>
      <c r="AD42" s="1">
        <v>130976</v>
      </c>
      <c r="AE42" s="4">
        <v>6.9309999999999997E-2</v>
      </c>
      <c r="AF42" s="4">
        <v>3.8899999999999998E-3</v>
      </c>
      <c r="AG42" s="4">
        <v>7.6800000000000002E-3</v>
      </c>
      <c r="AH42" s="5">
        <v>0.61299999999999999</v>
      </c>
      <c r="AI42" s="8"/>
      <c r="AJ42" s="1">
        <v>56603</v>
      </c>
      <c r="AK42" s="4">
        <v>6.3530000000000003E-2</v>
      </c>
      <c r="AL42" s="4">
        <v>3.2559999999999999E-2</v>
      </c>
      <c r="AM42" s="4">
        <v>1.2330000000000001E-2</v>
      </c>
      <c r="AN42" s="5">
        <v>8.2550000000000002E-3</v>
      </c>
      <c r="AO42" s="5">
        <v>0.75270000000000004</v>
      </c>
      <c r="AP42" s="4"/>
      <c r="AQ42" s="8"/>
      <c r="AR42" s="177">
        <v>5872</v>
      </c>
      <c r="AS42" s="177">
        <v>4.6920000000000003E-2</v>
      </c>
      <c r="AT42" s="29">
        <v>2.1000000000000001E-2</v>
      </c>
      <c r="AU42" s="29">
        <v>3.6957700000000003E-2</v>
      </c>
      <c r="AV42" s="16">
        <v>0.56988700000000003</v>
      </c>
      <c r="AW42" s="43">
        <v>0.99864600000000003</v>
      </c>
      <c r="AX42" s="4"/>
    </row>
    <row r="43" spans="1:50" x14ac:dyDescent="0.25">
      <c r="A43" s="1" t="s">
        <v>900</v>
      </c>
      <c r="B43" s="904">
        <v>30</v>
      </c>
      <c r="C43" s="1" t="s">
        <v>127</v>
      </c>
      <c r="D43" s="1">
        <v>11</v>
      </c>
      <c r="E43" s="1">
        <v>65403651</v>
      </c>
      <c r="F43" s="60" t="s">
        <v>128</v>
      </c>
      <c r="G43" s="2" t="s">
        <v>129</v>
      </c>
      <c r="I43" s="1" t="s">
        <v>17</v>
      </c>
      <c r="J43" s="1" t="s">
        <v>16</v>
      </c>
      <c r="K43" s="8"/>
      <c r="L43" s="177">
        <v>222814</v>
      </c>
      <c r="M43" s="29">
        <v>0.95499999999999996</v>
      </c>
      <c r="N43" s="29">
        <v>2.4199999999999999E-2</v>
      </c>
      <c r="O43" s="29">
        <v>7.3000000000000001E-3</v>
      </c>
      <c r="P43" s="16">
        <v>8.518E-4</v>
      </c>
      <c r="Q43" s="13">
        <v>0.43734580000000001</v>
      </c>
      <c r="R43" s="19">
        <v>189552</v>
      </c>
      <c r="S43" s="29">
        <v>0.94930000000000003</v>
      </c>
      <c r="T43" s="29">
        <v>2.5000000000000001E-2</v>
      </c>
      <c r="U43" s="29">
        <v>7.4000000000000003E-3</v>
      </c>
      <c r="V43" s="16">
        <v>6.9850000000000001E-4</v>
      </c>
      <c r="W43" s="16">
        <v>0.54766959999999998</v>
      </c>
      <c r="X43" s="8"/>
      <c r="Y43" s="177">
        <v>164238</v>
      </c>
      <c r="Z43" s="29">
        <v>0.95989199999999997</v>
      </c>
      <c r="AA43" s="29">
        <v>2.9597999999999999E-2</v>
      </c>
      <c r="AB43" s="29">
        <v>8.9029999999999995E-3</v>
      </c>
      <c r="AC43" s="16">
        <v>8.8599999999999996E-4</v>
      </c>
      <c r="AD43" s="1">
        <v>130976</v>
      </c>
      <c r="AE43" s="4">
        <v>0.95152000000000003</v>
      </c>
      <c r="AF43" s="4">
        <v>3.091E-2</v>
      </c>
      <c r="AG43" s="4">
        <v>9.0799999999999995E-3</v>
      </c>
      <c r="AH43" s="5">
        <v>6.6299999999999996E-4</v>
      </c>
      <c r="AI43" s="8"/>
      <c r="AJ43" s="1">
        <v>52704</v>
      </c>
      <c r="AK43" s="4">
        <v>0.94472999999999996</v>
      </c>
      <c r="AL43" s="4">
        <v>1.9220000000000001E-2</v>
      </c>
      <c r="AM43" s="4">
        <v>1.341E-2</v>
      </c>
      <c r="AN43" s="5">
        <v>0.15190000000000001</v>
      </c>
      <c r="AO43" s="5">
        <v>0.97719999999999996</v>
      </c>
      <c r="AP43" s="4"/>
      <c r="AQ43" s="8"/>
      <c r="AR43" s="177">
        <v>5872</v>
      </c>
      <c r="AS43" s="177">
        <v>0.94811000000000001</v>
      </c>
      <c r="AT43" s="29">
        <v>-2.9000000000000001E-2</v>
      </c>
      <c r="AU43" s="29">
        <v>3.6707499999999997E-2</v>
      </c>
      <c r="AV43" s="16">
        <v>0.42951099999999998</v>
      </c>
      <c r="AW43" s="43">
        <v>0.99568999999999996</v>
      </c>
      <c r="AX43" s="4"/>
    </row>
    <row r="44" spans="1:50" x14ac:dyDescent="0.25">
      <c r="A44" s="1" t="s">
        <v>900</v>
      </c>
      <c r="B44" s="904">
        <v>31</v>
      </c>
      <c r="C44" s="1" t="s">
        <v>131</v>
      </c>
      <c r="D44" s="1">
        <v>12</v>
      </c>
      <c r="E44" s="1">
        <v>48143315</v>
      </c>
      <c r="F44" s="60" t="s">
        <v>132</v>
      </c>
      <c r="G44" s="2" t="s">
        <v>133</v>
      </c>
      <c r="I44" s="1" t="s">
        <v>16</v>
      </c>
      <c r="J44" s="1" t="s">
        <v>24</v>
      </c>
      <c r="K44" s="8"/>
      <c r="L44" s="177">
        <v>224600</v>
      </c>
      <c r="M44" s="29">
        <v>0.98960000000000004</v>
      </c>
      <c r="N44" s="29">
        <v>5.3499999999999999E-2</v>
      </c>
      <c r="O44" s="29">
        <v>1.47E-2</v>
      </c>
      <c r="P44" s="16">
        <v>2.6659999999999998E-4</v>
      </c>
      <c r="Q44" s="13">
        <v>7.3485E-3</v>
      </c>
      <c r="R44" s="19">
        <v>191338</v>
      </c>
      <c r="S44" s="29">
        <v>0.98829999999999996</v>
      </c>
      <c r="T44" s="29">
        <v>4.9700000000000001E-2</v>
      </c>
      <c r="U44" s="29">
        <v>1.4999999999999999E-2</v>
      </c>
      <c r="V44" s="16">
        <v>8.8670000000000003E-4</v>
      </c>
      <c r="W44" s="16">
        <v>4.2421000000000004E-3</v>
      </c>
      <c r="X44" s="8"/>
      <c r="Y44" s="177">
        <v>164238</v>
      </c>
      <c r="Z44" s="29">
        <v>0.99010699999999996</v>
      </c>
      <c r="AA44" s="29">
        <v>6.7780999999999994E-2</v>
      </c>
      <c r="AB44" s="29">
        <v>1.7638000000000001E-2</v>
      </c>
      <c r="AC44" s="16">
        <v>1.22E-4</v>
      </c>
      <c r="AD44" s="1">
        <v>130976</v>
      </c>
      <c r="AE44" s="4">
        <v>0.98821999999999999</v>
      </c>
      <c r="AF44" s="4">
        <v>6.2939999999999996E-2</v>
      </c>
      <c r="AG44" s="4">
        <v>1.8110000000000001E-2</v>
      </c>
      <c r="AH44" s="5">
        <v>5.1000000000000004E-4</v>
      </c>
      <c r="AI44" s="8"/>
      <c r="AJ44" s="1">
        <v>54490</v>
      </c>
      <c r="AK44" s="4">
        <v>0.98878999999999995</v>
      </c>
      <c r="AL44" s="4">
        <v>8.0160000000000006E-3</v>
      </c>
      <c r="AM44" s="4">
        <v>2.8850000000000001E-2</v>
      </c>
      <c r="AN44" s="5">
        <v>0.78120000000000001</v>
      </c>
      <c r="AO44" s="5">
        <v>0.35199999999999998</v>
      </c>
      <c r="AP44" s="4"/>
      <c r="AQ44" s="8"/>
      <c r="AR44" s="177">
        <v>5872</v>
      </c>
      <c r="AS44" s="177">
        <v>0.98573999999999995</v>
      </c>
      <c r="AT44" s="29">
        <v>9.4E-2</v>
      </c>
      <c r="AU44" s="29">
        <v>6.7322400000000004E-2</v>
      </c>
      <c r="AV44" s="16">
        <v>0.162634</v>
      </c>
      <c r="AW44" s="43">
        <v>0.98935700000000004</v>
      </c>
      <c r="AX44" s="4"/>
    </row>
    <row r="45" spans="1:50" x14ac:dyDescent="0.25">
      <c r="A45" s="1" t="s">
        <v>900</v>
      </c>
      <c r="B45" s="904">
        <v>32</v>
      </c>
      <c r="C45" s="1" t="s">
        <v>135</v>
      </c>
      <c r="D45" s="1">
        <v>12</v>
      </c>
      <c r="E45" s="1">
        <v>108618630</v>
      </c>
      <c r="F45" s="60" t="s">
        <v>136</v>
      </c>
      <c r="G45" s="2" t="s">
        <v>137</v>
      </c>
      <c r="I45" s="1" t="s">
        <v>17</v>
      </c>
      <c r="J45" s="1" t="s">
        <v>23</v>
      </c>
      <c r="K45" s="8"/>
      <c r="L45" s="177">
        <v>226691</v>
      </c>
      <c r="M45" s="29">
        <v>0.72899999999999998</v>
      </c>
      <c r="N45" s="29">
        <v>1.6500000000000001E-2</v>
      </c>
      <c r="O45" s="29">
        <v>3.3999999999999998E-3</v>
      </c>
      <c r="P45" s="16">
        <v>8.9100000000000002E-7</v>
      </c>
      <c r="Q45" s="13">
        <v>0.5513747</v>
      </c>
      <c r="R45" s="19">
        <v>193429</v>
      </c>
      <c r="S45" s="29">
        <v>0.73399999999999999</v>
      </c>
      <c r="T45" s="29">
        <v>1.6199999999999999E-2</v>
      </c>
      <c r="U45" s="29">
        <v>3.5999999999999999E-3</v>
      </c>
      <c r="V45" s="16">
        <v>7.5299999999999999E-6</v>
      </c>
      <c r="W45" s="16">
        <v>0.61080420000000002</v>
      </c>
      <c r="X45" s="8"/>
      <c r="Y45" s="177">
        <v>164238</v>
      </c>
      <c r="Z45" s="29">
        <v>0.72431299999999998</v>
      </c>
      <c r="AA45" s="29">
        <v>1.7991E-2</v>
      </c>
      <c r="AB45" s="29">
        <v>3.9370000000000004E-3</v>
      </c>
      <c r="AC45" s="16">
        <v>4.8999999999999997E-6</v>
      </c>
      <c r="AD45" s="1">
        <v>130976</v>
      </c>
      <c r="AE45" s="4">
        <v>0.73051999999999995</v>
      </c>
      <c r="AF45" s="4">
        <v>1.8010000000000002E-2</v>
      </c>
      <c r="AG45" s="4">
        <v>4.4000000000000003E-3</v>
      </c>
      <c r="AH45" s="5">
        <v>4.2599999999999999E-5</v>
      </c>
      <c r="AI45" s="8"/>
      <c r="AJ45" s="1">
        <v>56581</v>
      </c>
      <c r="AK45" s="4">
        <v>0.73909999999999998</v>
      </c>
      <c r="AL45" s="4">
        <v>1.205E-2</v>
      </c>
      <c r="AM45" s="4">
        <v>6.783E-3</v>
      </c>
      <c r="AN45" s="5">
        <v>7.5569999999999998E-2</v>
      </c>
      <c r="AO45" s="5">
        <v>0.1128</v>
      </c>
      <c r="AP45" s="4"/>
      <c r="AQ45" s="8"/>
      <c r="AR45" s="177">
        <v>5872</v>
      </c>
      <c r="AS45" s="177">
        <v>0.75944</v>
      </c>
      <c r="AT45" s="29">
        <v>1.6E-2</v>
      </c>
      <c r="AU45" s="29">
        <v>1.9305200000000002E-2</v>
      </c>
      <c r="AV45" s="16">
        <v>0.407223</v>
      </c>
      <c r="AW45" s="43">
        <v>0.99739900000000004</v>
      </c>
      <c r="AX45" s="4"/>
    </row>
    <row r="46" spans="1:50" x14ac:dyDescent="0.25">
      <c r="A46" s="1" t="s">
        <v>905</v>
      </c>
      <c r="B46" s="1301">
        <v>33</v>
      </c>
      <c r="C46" s="1" t="s">
        <v>936</v>
      </c>
      <c r="D46" s="1">
        <v>12</v>
      </c>
      <c r="E46" s="1">
        <v>123200768</v>
      </c>
      <c r="F46" s="60" t="s">
        <v>937</v>
      </c>
      <c r="G46" s="2" t="s">
        <v>938</v>
      </c>
      <c r="H46" s="1233" t="s">
        <v>141</v>
      </c>
      <c r="I46" s="1" t="s">
        <v>23</v>
      </c>
      <c r="J46" s="1" t="s">
        <v>24</v>
      </c>
      <c r="K46" s="8"/>
      <c r="L46" s="177">
        <v>210046</v>
      </c>
      <c r="M46" s="29">
        <v>0.44540000000000002</v>
      </c>
      <c r="N46" s="29">
        <v>4.3E-3</v>
      </c>
      <c r="O46" s="29">
        <v>4.7000000000000002E-3</v>
      </c>
      <c r="P46" s="16">
        <v>0.36549999999999999</v>
      </c>
      <c r="Q46" s="13">
        <v>6.7552999999999997E-3</v>
      </c>
      <c r="R46" s="19">
        <v>193423</v>
      </c>
      <c r="S46" s="29">
        <v>0.43509999999999999</v>
      </c>
      <c r="T46" s="29">
        <v>6.6E-3</v>
      </c>
      <c r="U46" s="29">
        <v>4.8999999999999998E-3</v>
      </c>
      <c r="V46" s="16">
        <v>0.1734</v>
      </c>
      <c r="W46" s="16">
        <v>6.6847E-3</v>
      </c>
      <c r="X46" s="8"/>
      <c r="Y46" s="177">
        <v>147599</v>
      </c>
      <c r="Z46" s="29">
        <v>0.44956200000000002</v>
      </c>
      <c r="AA46" s="29">
        <v>3.9550000000000002E-3</v>
      </c>
      <c r="AB46" s="29">
        <v>5.6490000000000004E-3</v>
      </c>
      <c r="AC46" s="16">
        <v>0.48399999999999999</v>
      </c>
      <c r="AD46" s="1">
        <v>130976</v>
      </c>
      <c r="AE46" s="4">
        <v>0.43476999999999999</v>
      </c>
      <c r="AF46" s="4">
        <v>7.3899999999999999E-3</v>
      </c>
      <c r="AG46" s="4">
        <v>5.8999999999999999E-3</v>
      </c>
      <c r="AH46" s="5">
        <v>0.21</v>
      </c>
      <c r="AI46" s="8"/>
      <c r="AJ46" s="1">
        <v>56575</v>
      </c>
      <c r="AK46" s="4">
        <v>0.4304</v>
      </c>
      <c r="AL46" s="4">
        <v>6.8510000000000003E-3</v>
      </c>
      <c r="AM46" s="4">
        <v>8.9779999999999999E-3</v>
      </c>
      <c r="AN46" s="5">
        <v>0.44540000000000002</v>
      </c>
      <c r="AO46" s="5">
        <v>0.7329</v>
      </c>
      <c r="AP46" s="4"/>
      <c r="AQ46" s="8"/>
      <c r="AR46" s="177">
        <v>5872</v>
      </c>
      <c r="AS46" s="177">
        <v>0.48793999999999998</v>
      </c>
      <c r="AT46" s="29">
        <v>-1.2999999999999999E-2</v>
      </c>
      <c r="AU46" s="29">
        <v>2.7764400000000002E-2</v>
      </c>
      <c r="AV46" s="16">
        <v>0.63962300000000005</v>
      </c>
      <c r="AW46" s="43">
        <v>0.99831000000000003</v>
      </c>
      <c r="AX46" s="4"/>
    </row>
    <row r="47" spans="1:50" x14ac:dyDescent="0.25">
      <c r="A47" s="1" t="s">
        <v>900</v>
      </c>
      <c r="B47" s="1301"/>
      <c r="C47" s="1" t="s">
        <v>139</v>
      </c>
      <c r="D47" s="1">
        <v>12</v>
      </c>
      <c r="E47" s="1">
        <v>123444507</v>
      </c>
      <c r="F47" s="60" t="s">
        <v>939</v>
      </c>
      <c r="G47" s="2" t="s">
        <v>140</v>
      </c>
      <c r="H47" s="1233"/>
      <c r="I47" s="1" t="s">
        <v>24</v>
      </c>
      <c r="J47" s="1" t="s">
        <v>23</v>
      </c>
      <c r="K47" s="8"/>
      <c r="L47" s="177">
        <v>219520</v>
      </c>
      <c r="M47" s="29">
        <v>0.98740000000000006</v>
      </c>
      <c r="N47" s="29">
        <v>4.3499999999999997E-2</v>
      </c>
      <c r="O47" s="29">
        <v>1.37E-2</v>
      </c>
      <c r="P47" s="16">
        <v>1.4580000000000001E-3</v>
      </c>
      <c r="Q47" s="13">
        <v>0.35055969999999997</v>
      </c>
      <c r="R47" s="19">
        <v>187550</v>
      </c>
      <c r="S47" s="29">
        <v>0.98640000000000005</v>
      </c>
      <c r="T47" s="29">
        <v>4.6100000000000002E-2</v>
      </c>
      <c r="U47" s="29">
        <v>1.4200000000000001E-2</v>
      </c>
      <c r="V47" s="16">
        <v>1.1609999999999999E-3</v>
      </c>
      <c r="W47" s="16">
        <v>0.36059089999999999</v>
      </c>
      <c r="X47" s="8"/>
      <c r="Y47" s="177">
        <v>157041</v>
      </c>
      <c r="Z47" s="29">
        <v>0.988317</v>
      </c>
      <c r="AA47" s="29">
        <v>3.7866999999999998E-2</v>
      </c>
      <c r="AB47" s="29">
        <v>1.6465E-2</v>
      </c>
      <c r="AC47" s="16">
        <v>2.1499999999999998E-2</v>
      </c>
      <c r="AD47" s="1">
        <v>125071</v>
      </c>
      <c r="AE47" s="4">
        <v>0.98689000000000004</v>
      </c>
      <c r="AF47" s="4">
        <v>4.1160000000000002E-2</v>
      </c>
      <c r="AG47" s="4">
        <v>1.7430000000000001E-2</v>
      </c>
      <c r="AH47" s="5">
        <v>1.8200000000000001E-2</v>
      </c>
      <c r="AI47" s="8"/>
      <c r="AJ47" s="1">
        <v>56607</v>
      </c>
      <c r="AK47" s="4">
        <v>0.98524999999999996</v>
      </c>
      <c r="AL47" s="4">
        <v>5.8540000000000002E-2</v>
      </c>
      <c r="AM47" s="4">
        <v>2.4719999999999999E-2</v>
      </c>
      <c r="AN47" s="5">
        <v>1.787E-2</v>
      </c>
      <c r="AO47" s="5">
        <v>0.4864</v>
      </c>
      <c r="AP47" s="4"/>
      <c r="AQ47" s="8"/>
      <c r="AR47" s="177">
        <v>5872</v>
      </c>
      <c r="AS47" s="177">
        <v>0.99692000000000003</v>
      </c>
      <c r="AT47" s="29">
        <v>-9.8000000000000004E-2</v>
      </c>
      <c r="AU47" s="29">
        <v>0.19309419999999999</v>
      </c>
      <c r="AV47" s="16">
        <v>0.61178699999999997</v>
      </c>
      <c r="AW47" s="43">
        <v>0.989873</v>
      </c>
      <c r="AX47" s="4"/>
    </row>
    <row r="48" spans="1:50" x14ac:dyDescent="0.25">
      <c r="A48" s="1" t="s">
        <v>900</v>
      </c>
      <c r="B48" s="1301"/>
      <c r="C48" s="1" t="s">
        <v>143</v>
      </c>
      <c r="D48" s="1">
        <v>12</v>
      </c>
      <c r="E48" s="1">
        <v>124265687</v>
      </c>
      <c r="F48" s="1303" t="s">
        <v>940</v>
      </c>
      <c r="G48" s="2" t="s">
        <v>144</v>
      </c>
      <c r="H48" s="1233"/>
      <c r="I48" s="1" t="s">
        <v>23</v>
      </c>
      <c r="J48" s="1" t="s">
        <v>17</v>
      </c>
      <c r="K48" s="8"/>
      <c r="L48" s="177">
        <v>226659</v>
      </c>
      <c r="M48" s="29">
        <v>0.36990000000000001</v>
      </c>
      <c r="N48" s="29">
        <v>5.3E-3</v>
      </c>
      <c r="O48" s="29">
        <v>3.0999999999999999E-3</v>
      </c>
      <c r="P48" s="16">
        <v>8.344E-2</v>
      </c>
      <c r="Q48" s="13">
        <v>2.6799999999999998E-8</v>
      </c>
      <c r="R48" s="19">
        <v>193397</v>
      </c>
      <c r="S48" s="29">
        <v>0.37869999999999998</v>
      </c>
      <c r="T48" s="29">
        <v>5.0000000000000001E-3</v>
      </c>
      <c r="U48" s="29">
        <v>3.3E-3</v>
      </c>
      <c r="V48" s="16">
        <v>0.1293</v>
      </c>
      <c r="W48" s="16">
        <v>3.8199999999999998E-8</v>
      </c>
      <c r="X48" s="8"/>
      <c r="Y48" s="177">
        <v>164238</v>
      </c>
      <c r="Z48" s="29">
        <v>0.359489</v>
      </c>
      <c r="AA48" s="29">
        <v>9.4490000000000008E-3</v>
      </c>
      <c r="AB48" s="29">
        <v>3.6389999999999999E-3</v>
      </c>
      <c r="AC48" s="16">
        <v>9.41E-3</v>
      </c>
      <c r="AD48" s="1">
        <v>130976</v>
      </c>
      <c r="AE48" s="4">
        <v>0.37025000000000002</v>
      </c>
      <c r="AF48" s="4">
        <v>9.9100000000000004E-3</v>
      </c>
      <c r="AG48" s="4">
        <v>4.0299999999999997E-3</v>
      </c>
      <c r="AH48" s="5">
        <v>1.4E-2</v>
      </c>
      <c r="AI48" s="8"/>
      <c r="AJ48" s="1">
        <v>56549</v>
      </c>
      <c r="AK48" s="4">
        <v>0.39340000000000003</v>
      </c>
      <c r="AL48" s="4">
        <v>-6.5009999999999998E-3</v>
      </c>
      <c r="AM48" s="4">
        <v>6.0829999999999999E-3</v>
      </c>
      <c r="AN48" s="5">
        <v>0.28520000000000001</v>
      </c>
      <c r="AO48" s="5">
        <v>0.40410000000000001</v>
      </c>
      <c r="AP48" s="4"/>
      <c r="AQ48" s="8"/>
      <c r="AR48" s="177">
        <v>5872</v>
      </c>
      <c r="AS48" s="177">
        <v>0.41958000000000001</v>
      </c>
      <c r="AT48" s="29">
        <v>8.0000000000000002E-3</v>
      </c>
      <c r="AU48" s="29">
        <v>1.7971999999999998E-2</v>
      </c>
      <c r="AV48" s="16">
        <v>0.65622000000000003</v>
      </c>
      <c r="AW48" s="43">
        <v>0.99983599999999995</v>
      </c>
      <c r="AX48" s="4"/>
    </row>
    <row r="49" spans="1:50" x14ac:dyDescent="0.25">
      <c r="A49" s="1" t="s">
        <v>900</v>
      </c>
      <c r="B49" s="1301"/>
      <c r="C49" s="1" t="s">
        <v>146</v>
      </c>
      <c r="D49" s="1">
        <v>12</v>
      </c>
      <c r="E49" s="1">
        <v>124330311</v>
      </c>
      <c r="F49" s="1303"/>
      <c r="G49" s="2" t="s">
        <v>147</v>
      </c>
      <c r="H49" s="1233"/>
      <c r="I49" s="1" t="s">
        <v>17</v>
      </c>
      <c r="J49" s="1" t="s">
        <v>23</v>
      </c>
      <c r="K49" s="8"/>
      <c r="L49" s="177">
        <v>226682</v>
      </c>
      <c r="M49" s="29">
        <v>0.89129999999999998</v>
      </c>
      <c r="N49" s="29">
        <v>6.3E-3</v>
      </c>
      <c r="O49" s="29">
        <v>4.7999999999999996E-3</v>
      </c>
      <c r="P49" s="16">
        <v>0.18579999999999999</v>
      </c>
      <c r="Q49" s="13">
        <v>3.1300000000000002E-8</v>
      </c>
      <c r="R49" s="19">
        <v>193420</v>
      </c>
      <c r="S49" s="29">
        <v>0.8831</v>
      </c>
      <c r="T49" s="29">
        <v>5.8999999999999999E-3</v>
      </c>
      <c r="U49" s="29">
        <v>5.0000000000000001E-3</v>
      </c>
      <c r="V49" s="16">
        <v>0.23269999999999999</v>
      </c>
      <c r="W49" s="16">
        <v>3.9300000000000001E-8</v>
      </c>
      <c r="X49" s="8"/>
      <c r="Y49" s="177">
        <v>164238</v>
      </c>
      <c r="Z49" s="29">
        <v>0.89723299999999995</v>
      </c>
      <c r="AA49" s="29">
        <v>4.4609999999999997E-3</v>
      </c>
      <c r="AB49" s="29">
        <v>5.7470000000000004E-3</v>
      </c>
      <c r="AC49" s="16">
        <v>0.438</v>
      </c>
      <c r="AD49" s="1">
        <v>130976</v>
      </c>
      <c r="AE49" s="4">
        <v>0.88556000000000001</v>
      </c>
      <c r="AF49" s="4">
        <v>3.65E-3</v>
      </c>
      <c r="AG49" s="4">
        <v>6.1199999999999996E-3</v>
      </c>
      <c r="AH49" s="5">
        <v>0.55100000000000005</v>
      </c>
      <c r="AI49" s="8"/>
      <c r="AJ49" s="1">
        <v>56572</v>
      </c>
      <c r="AK49" s="4">
        <v>0.87749999999999995</v>
      </c>
      <c r="AL49" s="4">
        <v>6.6959999999999997E-3</v>
      </c>
      <c r="AM49" s="4">
        <v>9.0430000000000007E-3</v>
      </c>
      <c r="AN49" s="5">
        <v>0.45900000000000002</v>
      </c>
      <c r="AO49" s="5">
        <v>0.90380000000000005</v>
      </c>
      <c r="AP49" s="4"/>
      <c r="AQ49" s="8"/>
      <c r="AR49" s="177">
        <v>5872</v>
      </c>
      <c r="AS49" s="177">
        <v>0.88531000000000004</v>
      </c>
      <c r="AT49" s="29">
        <v>0.04</v>
      </c>
      <c r="AU49" s="29">
        <v>2.5679799999999999E-2</v>
      </c>
      <c r="AV49" s="16">
        <v>0.11931799999999999</v>
      </c>
      <c r="AW49" s="43">
        <v>0.99729800000000002</v>
      </c>
      <c r="AX49" s="4"/>
    </row>
    <row r="50" spans="1:50" x14ac:dyDescent="0.25">
      <c r="A50" s="1" t="s">
        <v>900</v>
      </c>
      <c r="B50" s="1301"/>
      <c r="C50" s="1" t="s">
        <v>149</v>
      </c>
      <c r="D50" s="1">
        <v>12</v>
      </c>
      <c r="E50" s="1">
        <v>124427306</v>
      </c>
      <c r="F50" s="60" t="s">
        <v>941</v>
      </c>
      <c r="G50" s="2" t="s">
        <v>150</v>
      </c>
      <c r="H50" s="1233"/>
      <c r="I50" s="1" t="s">
        <v>23</v>
      </c>
      <c r="J50" s="1" t="s">
        <v>16</v>
      </c>
      <c r="K50" s="8"/>
      <c r="L50" s="177">
        <v>223324</v>
      </c>
      <c r="M50" s="29">
        <v>0.70079999999999998</v>
      </c>
      <c r="N50" s="29">
        <v>1.34E-2</v>
      </c>
      <c r="O50" s="29">
        <v>3.3E-3</v>
      </c>
      <c r="P50" s="16">
        <v>4.2500000000000003E-5</v>
      </c>
      <c r="Q50" s="13">
        <v>5.4899999999999999E-11</v>
      </c>
      <c r="R50" s="19">
        <v>190062</v>
      </c>
      <c r="S50" s="29">
        <v>0.68689999999999996</v>
      </c>
      <c r="T50" s="29">
        <v>1.4200000000000001E-2</v>
      </c>
      <c r="U50" s="29">
        <v>3.5000000000000001E-3</v>
      </c>
      <c r="V50" s="16">
        <v>4.71E-5</v>
      </c>
      <c r="W50" s="16">
        <v>7.1699999999999995E-11</v>
      </c>
      <c r="X50" s="8"/>
      <c r="Y50" s="177">
        <v>160920</v>
      </c>
      <c r="Z50" s="29">
        <v>0.70591000000000004</v>
      </c>
      <c r="AA50" s="29">
        <v>1.3354E-2</v>
      </c>
      <c r="AB50" s="29">
        <v>3.8860000000000001E-3</v>
      </c>
      <c r="AC50" s="16">
        <v>5.9000000000000003E-4</v>
      </c>
      <c r="AD50" s="1">
        <v>127658</v>
      </c>
      <c r="AE50" s="4">
        <v>0.68606999999999996</v>
      </c>
      <c r="AF50" s="4">
        <v>1.453E-2</v>
      </c>
      <c r="AG50" s="4">
        <v>4.2599999999999999E-3</v>
      </c>
      <c r="AH50" s="5">
        <v>6.4800000000000003E-4</v>
      </c>
      <c r="AI50" s="8"/>
      <c r="AJ50" s="1">
        <v>56532</v>
      </c>
      <c r="AK50" s="4">
        <v>0.68869999999999998</v>
      </c>
      <c r="AL50" s="4">
        <v>1.5879999999999998E-2</v>
      </c>
      <c r="AM50" s="4">
        <v>6.4089999999999998E-3</v>
      </c>
      <c r="AN50" s="5">
        <v>1.3220000000000001E-2</v>
      </c>
      <c r="AO50" s="5">
        <v>0.50090000000000001</v>
      </c>
      <c r="AP50" s="4"/>
      <c r="AQ50" s="8"/>
      <c r="AR50" s="177">
        <v>5872</v>
      </c>
      <c r="AS50" s="177">
        <v>0.68696000000000002</v>
      </c>
      <c r="AT50" s="29">
        <v>-7.0000000000000001E-3</v>
      </c>
      <c r="AU50" s="29">
        <v>1.8772299999999999E-2</v>
      </c>
      <c r="AV50" s="16">
        <v>0.70923000000000003</v>
      </c>
      <c r="AW50" s="43">
        <v>0.99996600000000002</v>
      </c>
      <c r="AX50" s="4"/>
    </row>
    <row r="51" spans="1:50" x14ac:dyDescent="0.25">
      <c r="A51" s="1" t="s">
        <v>900</v>
      </c>
      <c r="B51" s="904">
        <v>34</v>
      </c>
      <c r="C51" s="1" t="s">
        <v>246</v>
      </c>
      <c r="D51" s="1">
        <v>13</v>
      </c>
      <c r="E51" s="1">
        <v>96665697</v>
      </c>
      <c r="F51" s="60" t="s">
        <v>247</v>
      </c>
      <c r="G51" s="2" t="s">
        <v>248</v>
      </c>
      <c r="I51" s="1" t="s">
        <v>16</v>
      </c>
      <c r="J51" s="1" t="s">
        <v>24</v>
      </c>
      <c r="K51" s="8"/>
      <c r="L51" s="177">
        <v>203009</v>
      </c>
      <c r="M51" s="29">
        <v>5.4999999999999997E-3</v>
      </c>
      <c r="N51" s="29">
        <v>0.12989999999999999</v>
      </c>
      <c r="O51" s="29">
        <v>2.4E-2</v>
      </c>
      <c r="P51" s="16">
        <v>6.1399999999999994E-8</v>
      </c>
      <c r="Q51" s="13">
        <v>1.53E-6</v>
      </c>
      <c r="R51" s="19">
        <v>172943</v>
      </c>
      <c r="S51" s="29">
        <v>7.0000000000000001E-3</v>
      </c>
      <c r="T51" s="29">
        <v>0.1293</v>
      </c>
      <c r="U51" s="29">
        <v>2.4E-2</v>
      </c>
      <c r="V51" s="16">
        <v>7.1600000000000006E-8</v>
      </c>
      <c r="W51" s="16">
        <v>7.2600000000000002E-7</v>
      </c>
      <c r="X51" s="8"/>
      <c r="Y51" s="177">
        <v>140491</v>
      </c>
      <c r="Z51" s="29">
        <v>5.8349999999999999E-3</v>
      </c>
      <c r="AA51" s="29">
        <v>0.142264</v>
      </c>
      <c r="AB51" s="29">
        <v>2.4802999999999999E-2</v>
      </c>
      <c r="AC51" s="16">
        <v>9.7100000000000006E-9</v>
      </c>
      <c r="AD51" s="1">
        <v>110425</v>
      </c>
      <c r="AE51" s="4">
        <v>7.4099999999999999E-3</v>
      </c>
      <c r="AF51" s="4">
        <v>0.14172000000000001</v>
      </c>
      <c r="AG51" s="4">
        <v>2.4830000000000001E-2</v>
      </c>
      <c r="AH51" s="5">
        <v>1.14E-8</v>
      </c>
      <c r="AI51" s="8"/>
      <c r="AJ51" s="1">
        <v>56646</v>
      </c>
      <c r="AK51" s="4">
        <v>1.0499999999999999E-3</v>
      </c>
      <c r="AL51" s="4">
        <v>-3.2939700000000002E-2</v>
      </c>
      <c r="AM51" s="4">
        <v>9.5248799999999995E-2</v>
      </c>
      <c r="AN51" s="5">
        <v>0.72947200000000001</v>
      </c>
      <c r="AO51" s="5"/>
      <c r="AP51" s="4">
        <v>0.89493400000000001</v>
      </c>
      <c r="AQ51" s="8"/>
      <c r="AR51" s="177">
        <v>5872</v>
      </c>
      <c r="AS51" s="177">
        <v>6.9999999999999994E-5</v>
      </c>
      <c r="AT51" s="29">
        <v>-0.79</v>
      </c>
      <c r="AU51" s="29">
        <v>0.64871080000000003</v>
      </c>
      <c r="AV51" s="16">
        <v>0.2233</v>
      </c>
      <c r="AW51" s="43"/>
      <c r="AX51" s="4"/>
    </row>
    <row r="52" spans="1:50" x14ac:dyDescent="0.25">
      <c r="A52" s="1" t="s">
        <v>900</v>
      </c>
      <c r="B52" s="904">
        <v>35</v>
      </c>
      <c r="C52" s="1" t="s">
        <v>251</v>
      </c>
      <c r="D52" s="1">
        <v>14</v>
      </c>
      <c r="E52" s="1">
        <v>23312594</v>
      </c>
      <c r="F52" s="60" t="s">
        <v>252</v>
      </c>
      <c r="G52" s="2" t="s">
        <v>253</v>
      </c>
      <c r="I52" s="1" t="s">
        <v>16</v>
      </c>
      <c r="J52" s="1" t="s">
        <v>24</v>
      </c>
      <c r="K52" s="8"/>
      <c r="L52" s="177">
        <v>226646</v>
      </c>
      <c r="M52" s="29">
        <v>0.20169999999999999</v>
      </c>
      <c r="N52" s="29">
        <v>2.06E-2</v>
      </c>
      <c r="O52" s="29">
        <v>3.7000000000000002E-3</v>
      </c>
      <c r="P52" s="16">
        <v>2.6000000000000001E-8</v>
      </c>
      <c r="Q52" s="13">
        <v>2.6069999999999999E-4</v>
      </c>
      <c r="R52" s="19">
        <v>193384</v>
      </c>
      <c r="S52" s="29">
        <v>0.20669999999999999</v>
      </c>
      <c r="T52" s="29">
        <v>2.1000000000000001E-2</v>
      </c>
      <c r="U52" s="29">
        <v>3.8999999999999998E-3</v>
      </c>
      <c r="V52" s="16">
        <v>1.01E-7</v>
      </c>
      <c r="W52" s="16">
        <v>7.3760000000000004E-4</v>
      </c>
      <c r="X52" s="8"/>
      <c r="Y52" s="177">
        <v>164238</v>
      </c>
      <c r="Z52" s="29">
        <v>0.196963</v>
      </c>
      <c r="AA52" s="29">
        <v>2.3279999999999999E-2</v>
      </c>
      <c r="AB52" s="29">
        <v>4.3829999999999997E-3</v>
      </c>
      <c r="AC52" s="16">
        <v>1.09E-7</v>
      </c>
      <c r="AD52" s="1">
        <v>130976</v>
      </c>
      <c r="AE52" s="4">
        <v>0.20351</v>
      </c>
      <c r="AF52" s="4">
        <v>2.4510000000000001E-2</v>
      </c>
      <c r="AG52" s="4">
        <v>4.8199999999999996E-3</v>
      </c>
      <c r="AH52" s="5">
        <v>3.7300000000000002E-7</v>
      </c>
      <c r="AI52" s="8"/>
      <c r="AJ52" s="1">
        <v>56536</v>
      </c>
      <c r="AK52" s="4">
        <v>0.2162</v>
      </c>
      <c r="AL52" s="4">
        <v>1.5970000000000002E-2</v>
      </c>
      <c r="AM52" s="4">
        <v>7.1999999999999998E-3</v>
      </c>
      <c r="AN52" s="5">
        <v>2.6579999999999999E-2</v>
      </c>
      <c r="AO52" s="5">
        <v>0.19839999999999999</v>
      </c>
      <c r="AP52" s="4"/>
      <c r="AQ52" s="8"/>
      <c r="AR52" s="177">
        <v>5872</v>
      </c>
      <c r="AS52" s="177">
        <v>0.18521000000000001</v>
      </c>
      <c r="AT52" s="29">
        <v>-6.0000000000000001E-3</v>
      </c>
      <c r="AU52" s="29">
        <v>2.22464E-2</v>
      </c>
      <c r="AV52" s="16">
        <v>0.78738600000000003</v>
      </c>
      <c r="AW52" s="43">
        <v>0.996977</v>
      </c>
      <c r="AX52" s="4"/>
    </row>
    <row r="53" spans="1:50" x14ac:dyDescent="0.25">
      <c r="A53" s="1" t="s">
        <v>900</v>
      </c>
      <c r="B53" s="904">
        <v>36</v>
      </c>
      <c r="C53" s="1" t="s">
        <v>219</v>
      </c>
      <c r="D53" s="1">
        <v>14</v>
      </c>
      <c r="E53" s="1">
        <v>58838668</v>
      </c>
      <c r="F53" s="60" t="s">
        <v>220</v>
      </c>
      <c r="G53" s="2" t="s">
        <v>96</v>
      </c>
      <c r="I53" s="1" t="s">
        <v>16</v>
      </c>
      <c r="J53" s="1" t="s">
        <v>24</v>
      </c>
      <c r="K53" s="8"/>
      <c r="L53" s="177">
        <v>197674</v>
      </c>
      <c r="M53" s="29">
        <v>0.41270000000000001</v>
      </c>
      <c r="N53" s="29">
        <v>7.6E-3</v>
      </c>
      <c r="O53" s="29">
        <v>3.2000000000000002E-3</v>
      </c>
      <c r="P53" s="16">
        <v>1.729E-2</v>
      </c>
      <c r="Q53" s="13">
        <v>0.123918</v>
      </c>
      <c r="R53" s="19">
        <v>165473</v>
      </c>
      <c r="S53" s="29">
        <v>0.41310000000000002</v>
      </c>
      <c r="T53" s="29">
        <v>9.4999999999999998E-3</v>
      </c>
      <c r="U53" s="29">
        <v>3.5000000000000001E-3</v>
      </c>
      <c r="V53" s="16">
        <v>6.8669999999999998E-3</v>
      </c>
      <c r="W53" s="16">
        <v>0.126083</v>
      </c>
      <c r="X53" s="8"/>
      <c r="Y53" s="177">
        <v>135156</v>
      </c>
      <c r="Z53" s="29">
        <v>0.41403000000000001</v>
      </c>
      <c r="AA53" s="29">
        <v>5.8069999999999997E-3</v>
      </c>
      <c r="AB53" s="29">
        <v>3.9110000000000004E-3</v>
      </c>
      <c r="AC53" s="16">
        <v>0.13800000000000001</v>
      </c>
      <c r="AD53" s="1">
        <v>102955</v>
      </c>
      <c r="AE53" s="4">
        <v>0.41510999999999998</v>
      </c>
      <c r="AF53" s="4">
        <v>8.1899999999999994E-3</v>
      </c>
      <c r="AG53" s="4">
        <v>4.4600000000000004E-3</v>
      </c>
      <c r="AH53" s="5">
        <v>6.6400000000000001E-2</v>
      </c>
      <c r="AI53" s="8"/>
      <c r="AJ53" s="1">
        <v>56646</v>
      </c>
      <c r="AK53" s="4">
        <v>0.41483999999999999</v>
      </c>
      <c r="AL53" s="4">
        <v>1.25316E-2</v>
      </c>
      <c r="AM53" s="4">
        <v>6.0217999999999999E-3</v>
      </c>
      <c r="AN53" s="5">
        <v>3.7430100000000001E-2</v>
      </c>
      <c r="AO53" s="5"/>
      <c r="AP53" s="4">
        <v>0.99512800000000001</v>
      </c>
      <c r="AQ53" s="8"/>
      <c r="AR53" s="177">
        <v>5872</v>
      </c>
      <c r="AS53" s="177">
        <v>0.37486000000000003</v>
      </c>
      <c r="AT53" s="29">
        <v>4.0000000000000001E-3</v>
      </c>
      <c r="AU53" s="29">
        <v>1.5991600000000002E-2</v>
      </c>
      <c r="AV53" s="16">
        <v>0.80248600000000003</v>
      </c>
      <c r="AW53" s="43">
        <v>0.99994499999999997</v>
      </c>
      <c r="AX53" s="4"/>
    </row>
    <row r="54" spans="1:50" x14ac:dyDescent="0.25">
      <c r="A54" s="1" t="s">
        <v>900</v>
      </c>
      <c r="B54" s="904">
        <v>37</v>
      </c>
      <c r="C54" s="1" t="s">
        <v>942</v>
      </c>
      <c r="D54" s="1">
        <v>14</v>
      </c>
      <c r="E54" s="1">
        <v>99876522</v>
      </c>
      <c r="F54" s="60" t="s">
        <v>943</v>
      </c>
      <c r="G54" s="2" t="s">
        <v>944</v>
      </c>
      <c r="I54" s="1" t="s">
        <v>17</v>
      </c>
      <c r="J54" s="1" t="s">
        <v>23</v>
      </c>
      <c r="K54" s="8"/>
      <c r="L54" s="177">
        <v>147752</v>
      </c>
      <c r="M54" s="29">
        <v>0.99990000000000001</v>
      </c>
      <c r="N54" s="29">
        <v>0.1226</v>
      </c>
      <c r="O54" s="29">
        <v>0.23580000000000001</v>
      </c>
      <c r="P54" s="16">
        <v>0.60309999999999997</v>
      </c>
      <c r="Q54" s="13">
        <v>6.1260000000000004E-3</v>
      </c>
      <c r="R54" s="19">
        <v>116625</v>
      </c>
      <c r="S54" s="29">
        <v>0.99990000000000001</v>
      </c>
      <c r="T54" s="29">
        <v>0.13880000000000001</v>
      </c>
      <c r="U54" s="29">
        <v>0.2427</v>
      </c>
      <c r="V54" s="16">
        <v>0.5675</v>
      </c>
      <c r="W54" s="16">
        <v>6.0023999999999997E-3</v>
      </c>
      <c r="X54" s="8"/>
      <c r="Y54" s="177">
        <v>147752</v>
      </c>
      <c r="Z54" s="29">
        <v>0.99993900000000002</v>
      </c>
      <c r="AA54" s="29">
        <v>0.12256499999999999</v>
      </c>
      <c r="AB54" s="29">
        <v>0.23574999999999999</v>
      </c>
      <c r="AC54" s="16">
        <v>0.60299999999999998</v>
      </c>
      <c r="AD54" s="1">
        <v>116625</v>
      </c>
      <c r="AE54" s="4">
        <v>0.99992999999999999</v>
      </c>
      <c r="AF54" s="4">
        <v>0.13877</v>
      </c>
      <c r="AG54" s="4">
        <v>0.24268999999999999</v>
      </c>
      <c r="AH54" s="5">
        <v>0.56699999999999995</v>
      </c>
      <c r="AI54" s="8"/>
      <c r="AK54" s="4"/>
      <c r="AL54" s="4"/>
      <c r="AM54" s="4"/>
      <c r="AN54" s="5"/>
      <c r="AO54" s="5"/>
      <c r="AP54" s="4"/>
      <c r="AQ54" s="8"/>
      <c r="AR54" s="177"/>
      <c r="AS54" s="177"/>
      <c r="AT54" s="29"/>
      <c r="AU54" s="29"/>
      <c r="AV54" s="16"/>
      <c r="AW54" s="43"/>
      <c r="AX54" s="4"/>
    </row>
    <row r="55" spans="1:50" x14ac:dyDescent="0.25">
      <c r="A55" s="1" t="s">
        <v>900</v>
      </c>
      <c r="B55" s="1301">
        <v>38</v>
      </c>
      <c r="C55" s="1" t="s">
        <v>152</v>
      </c>
      <c r="D55" s="1">
        <v>15</v>
      </c>
      <c r="E55" s="1">
        <v>42032383</v>
      </c>
      <c r="F55" s="60" t="s">
        <v>153</v>
      </c>
      <c r="G55" s="2" t="s">
        <v>154</v>
      </c>
      <c r="I55" s="1" t="s">
        <v>24</v>
      </c>
      <c r="J55" s="1" t="s">
        <v>17</v>
      </c>
      <c r="K55" s="8"/>
      <c r="L55" s="177">
        <v>223581</v>
      </c>
      <c r="M55" s="29">
        <v>0.34749999999999998</v>
      </c>
      <c r="N55" s="29">
        <v>1.44E-2</v>
      </c>
      <c r="O55" s="29">
        <v>3.0999999999999999E-3</v>
      </c>
      <c r="P55" s="16">
        <v>4.3100000000000002E-6</v>
      </c>
      <c r="Q55" s="13">
        <v>0.90847120000000003</v>
      </c>
      <c r="R55" s="19">
        <v>190319</v>
      </c>
      <c r="S55" s="29">
        <v>0.3569</v>
      </c>
      <c r="T55" s="29">
        <v>1.6899999999999998E-2</v>
      </c>
      <c r="U55" s="29">
        <v>3.3999999999999998E-3</v>
      </c>
      <c r="V55" s="16">
        <v>5.6499999999999999E-7</v>
      </c>
      <c r="W55" s="16">
        <v>0.93118140000000005</v>
      </c>
      <c r="X55" s="8"/>
      <c r="Y55" s="177">
        <v>161300</v>
      </c>
      <c r="Z55" s="29">
        <v>0.34730899999999998</v>
      </c>
      <c r="AA55" s="29">
        <v>1.5966000000000001E-2</v>
      </c>
      <c r="AB55" s="29">
        <v>3.718E-3</v>
      </c>
      <c r="AC55" s="16">
        <v>1.7499999999999998E-5</v>
      </c>
      <c r="AD55" s="1">
        <v>128038</v>
      </c>
      <c r="AE55" s="4">
        <v>0.36137999999999998</v>
      </c>
      <c r="AF55" s="4">
        <v>1.9949999999999999E-2</v>
      </c>
      <c r="AG55" s="4">
        <v>4.1200000000000004E-3</v>
      </c>
      <c r="AH55" s="5">
        <v>1.31E-6</v>
      </c>
      <c r="AI55" s="8"/>
      <c r="AJ55" s="1">
        <v>56409</v>
      </c>
      <c r="AK55" s="4">
        <v>0.34549999999999997</v>
      </c>
      <c r="AL55" s="4">
        <v>8.456E-3</v>
      </c>
      <c r="AM55" s="4">
        <v>6.2469999999999999E-3</v>
      </c>
      <c r="AN55" s="5">
        <v>0.1759</v>
      </c>
      <c r="AO55" s="5">
        <v>0.62270000000000003</v>
      </c>
      <c r="AP55" s="4"/>
      <c r="AQ55" s="8"/>
      <c r="AR55" s="177">
        <v>5872</v>
      </c>
      <c r="AS55" s="177">
        <v>0.36575000000000002</v>
      </c>
      <c r="AT55" s="29">
        <v>2.7E-2</v>
      </c>
      <c r="AU55" s="29">
        <v>1.7177600000000001E-2</v>
      </c>
      <c r="AV55" s="16">
        <v>0.115993</v>
      </c>
      <c r="AW55" s="43">
        <v>0.99997599999999998</v>
      </c>
      <c r="AX55" s="4"/>
    </row>
    <row r="56" spans="1:50" x14ac:dyDescent="0.25">
      <c r="A56" s="1" t="s">
        <v>900</v>
      </c>
      <c r="B56" s="1301"/>
      <c r="C56" s="1" t="s">
        <v>222</v>
      </c>
      <c r="D56" s="1">
        <v>15</v>
      </c>
      <c r="E56" s="1">
        <v>42115747</v>
      </c>
      <c r="F56" s="60" t="s">
        <v>223</v>
      </c>
      <c r="G56" s="2" t="s">
        <v>224</v>
      </c>
      <c r="I56" s="1" t="s">
        <v>17</v>
      </c>
      <c r="J56" s="1" t="s">
        <v>24</v>
      </c>
      <c r="K56" s="8"/>
      <c r="L56" s="177">
        <v>142180</v>
      </c>
      <c r="M56" s="29">
        <v>0.31290000000000001</v>
      </c>
      <c r="N56" s="29">
        <v>1.17E-2</v>
      </c>
      <c r="O56" s="29">
        <v>4.1000000000000003E-3</v>
      </c>
      <c r="P56" s="16">
        <v>4.4799999999999996E-3</v>
      </c>
      <c r="Q56" s="13">
        <v>0.41386669999999998</v>
      </c>
      <c r="R56" s="19">
        <v>113503</v>
      </c>
      <c r="S56" s="29">
        <v>0.3508</v>
      </c>
      <c r="T56" s="29">
        <v>1.5800000000000002E-2</v>
      </c>
      <c r="U56" s="29">
        <v>4.4999999999999997E-3</v>
      </c>
      <c r="V56" s="16">
        <v>4.4789999999999999E-4</v>
      </c>
      <c r="W56" s="16">
        <v>0.63485380000000002</v>
      </c>
      <c r="X56" s="8"/>
      <c r="Y56" s="177">
        <v>79730</v>
      </c>
      <c r="Z56" s="29">
        <v>0.29164299999999999</v>
      </c>
      <c r="AA56" s="29">
        <v>1.2746E-2</v>
      </c>
      <c r="AB56" s="29">
        <v>5.7010000000000003E-3</v>
      </c>
      <c r="AC56" s="16">
        <v>2.5399999999999999E-2</v>
      </c>
      <c r="AD56" s="1">
        <v>51053</v>
      </c>
      <c r="AE56" s="4">
        <v>0.37175000000000002</v>
      </c>
      <c r="AF56" s="4">
        <v>2.3269999999999999E-2</v>
      </c>
      <c r="AG56" s="4">
        <v>6.9800000000000001E-3</v>
      </c>
      <c r="AH56" s="5">
        <v>8.4999999999999995E-4</v>
      </c>
      <c r="AI56" s="8"/>
      <c r="AJ56" s="1">
        <v>56578</v>
      </c>
      <c r="AK56" s="4">
        <v>0.33400000000000002</v>
      </c>
      <c r="AL56" s="4">
        <v>7.8949999999999992E-3</v>
      </c>
      <c r="AM56" s="4">
        <v>6.2969999999999996E-3</v>
      </c>
      <c r="AN56" s="5">
        <v>0.2099</v>
      </c>
      <c r="AO56" s="5">
        <v>0.81040000000000001</v>
      </c>
      <c r="AP56" s="4"/>
      <c r="AQ56" s="8"/>
      <c r="AR56" s="177">
        <v>5872</v>
      </c>
      <c r="AS56" s="177">
        <v>0.34955999999999998</v>
      </c>
      <c r="AT56" s="29">
        <v>0.03</v>
      </c>
      <c r="AU56" s="29">
        <v>1.7216599999999999E-2</v>
      </c>
      <c r="AV56" s="16">
        <v>8.1420800000000002E-2</v>
      </c>
      <c r="AW56" s="43">
        <v>0.99975599999999998</v>
      </c>
      <c r="AX56" s="4"/>
    </row>
    <row r="57" spans="1:50" x14ac:dyDescent="0.25">
      <c r="A57" s="1" t="s">
        <v>900</v>
      </c>
      <c r="B57" s="1301"/>
      <c r="C57" s="1" t="s">
        <v>945</v>
      </c>
      <c r="D57" s="1">
        <v>15</v>
      </c>
      <c r="E57" s="1">
        <v>42166500</v>
      </c>
      <c r="F57" s="60" t="s">
        <v>946</v>
      </c>
      <c r="G57" s="2" t="s">
        <v>947</v>
      </c>
      <c r="I57" s="1" t="s">
        <v>23</v>
      </c>
      <c r="J57" s="1" t="s">
        <v>17</v>
      </c>
      <c r="K57" s="8"/>
      <c r="L57" s="177">
        <v>219110</v>
      </c>
      <c r="M57" s="29">
        <v>0.43630000000000002</v>
      </c>
      <c r="N57" s="29">
        <v>5.1999999999999998E-3</v>
      </c>
      <c r="O57" s="29">
        <v>3.0999999999999999E-3</v>
      </c>
      <c r="P57" s="16">
        <v>9.0929999999999997E-2</v>
      </c>
      <c r="Q57" s="13">
        <v>3.4396299999999998E-2</v>
      </c>
      <c r="R57" s="19">
        <v>185848</v>
      </c>
      <c r="S57" s="29">
        <v>0.44330000000000003</v>
      </c>
      <c r="T57" s="29">
        <v>7.3000000000000001E-3</v>
      </c>
      <c r="U57" s="29">
        <v>3.3E-3</v>
      </c>
      <c r="V57" s="16">
        <v>2.6419999999999999E-2</v>
      </c>
      <c r="W57" s="16">
        <v>0.1477996</v>
      </c>
      <c r="X57" s="8"/>
      <c r="Y57" s="177">
        <v>156768</v>
      </c>
      <c r="Z57" s="29">
        <v>0.43295899999999998</v>
      </c>
      <c r="AA57" s="29">
        <v>4.6030000000000003E-3</v>
      </c>
      <c r="AB57" s="29">
        <v>3.6589999999999999E-3</v>
      </c>
      <c r="AC57" s="16">
        <v>0.20799999999999999</v>
      </c>
      <c r="AD57" s="1">
        <v>123506</v>
      </c>
      <c r="AE57" s="4">
        <v>0.44275999999999999</v>
      </c>
      <c r="AF57" s="4">
        <v>7.7200000000000003E-3</v>
      </c>
      <c r="AG57" s="4">
        <v>4.0699999999999998E-3</v>
      </c>
      <c r="AH57" s="5">
        <v>5.8099999999999999E-2</v>
      </c>
      <c r="AI57" s="8"/>
      <c r="AJ57" s="1">
        <v>56470</v>
      </c>
      <c r="AK57" s="4">
        <v>0.441</v>
      </c>
      <c r="AL57" s="4">
        <v>5.4000000000000003E-3</v>
      </c>
      <c r="AM57" s="4">
        <v>5.9810000000000002E-3</v>
      </c>
      <c r="AN57" s="5">
        <v>0.36659999999999998</v>
      </c>
      <c r="AO57" s="5">
        <v>0.61040000000000005</v>
      </c>
      <c r="AP57" s="4"/>
      <c r="AQ57" s="8"/>
      <c r="AR57" s="177">
        <v>5872</v>
      </c>
      <c r="AS57" s="177">
        <v>0.46776000000000001</v>
      </c>
      <c r="AT57" s="29">
        <v>1.4999999999999999E-2</v>
      </c>
      <c r="AU57" s="29">
        <v>1.62589E-2</v>
      </c>
      <c r="AV57" s="16">
        <v>0.35622999999999999</v>
      </c>
      <c r="AW57" s="43">
        <v>0.99922</v>
      </c>
      <c r="AX57" s="4"/>
    </row>
    <row r="58" spans="1:50" x14ac:dyDescent="0.25">
      <c r="A58" s="1" t="s">
        <v>900</v>
      </c>
      <c r="B58" s="904">
        <v>39</v>
      </c>
      <c r="C58" s="1" t="s">
        <v>156</v>
      </c>
      <c r="D58" s="1">
        <v>15</v>
      </c>
      <c r="E58" s="1">
        <v>56756285</v>
      </c>
      <c r="F58" s="60" t="s">
        <v>157</v>
      </c>
      <c r="G58" s="2" t="s">
        <v>158</v>
      </c>
      <c r="H58" s="889" t="s">
        <v>159</v>
      </c>
      <c r="I58" s="1" t="s">
        <v>24</v>
      </c>
      <c r="J58" s="1" t="s">
        <v>23</v>
      </c>
      <c r="K58" s="8"/>
      <c r="L58" s="177">
        <v>226632</v>
      </c>
      <c r="M58" s="29">
        <v>9.3100000000000002E-2</v>
      </c>
      <c r="N58" s="29">
        <v>1.4500000000000001E-2</v>
      </c>
      <c r="O58" s="29">
        <v>5.1000000000000004E-3</v>
      </c>
      <c r="P58" s="16">
        <v>4.4980000000000003E-3</v>
      </c>
      <c r="Q58" s="13">
        <v>2.7159900000000001E-2</v>
      </c>
      <c r="R58" s="19">
        <v>193370</v>
      </c>
      <c r="S58" s="29">
        <v>9.9099999999999994E-2</v>
      </c>
      <c r="T58" s="29">
        <v>1.6E-2</v>
      </c>
      <c r="U58" s="29">
        <v>5.3E-3</v>
      </c>
      <c r="V58" s="16">
        <v>2.6870000000000002E-3</v>
      </c>
      <c r="W58" s="16">
        <v>6.5767099999999995E-2</v>
      </c>
      <c r="X58" s="8"/>
      <c r="Y58" s="177">
        <v>164238</v>
      </c>
      <c r="Z58" s="29">
        <v>8.9005000000000001E-2</v>
      </c>
      <c r="AA58" s="29">
        <v>1.6565E-2</v>
      </c>
      <c r="AB58" s="29">
        <v>6.1120000000000002E-3</v>
      </c>
      <c r="AC58" s="16">
        <v>6.7200000000000003E-3</v>
      </c>
      <c r="AD58" s="1">
        <v>130976</v>
      </c>
      <c r="AE58" s="4">
        <v>9.7339999999999996E-2</v>
      </c>
      <c r="AF58" s="4">
        <v>1.925E-2</v>
      </c>
      <c r="AG58" s="4">
        <v>6.5599999999999999E-3</v>
      </c>
      <c r="AH58" s="5">
        <v>3.3600000000000001E-3</v>
      </c>
      <c r="AI58" s="8"/>
      <c r="AJ58" s="1">
        <v>56522</v>
      </c>
      <c r="AK58" s="4">
        <v>0.105</v>
      </c>
      <c r="AL58" s="4">
        <v>1.196E-2</v>
      </c>
      <c r="AM58" s="4">
        <v>9.7179999999999992E-3</v>
      </c>
      <c r="AN58" s="5">
        <v>0.21829999999999999</v>
      </c>
      <c r="AO58" s="5">
        <v>0.54930000000000001</v>
      </c>
      <c r="AP58" s="4"/>
      <c r="AQ58" s="8"/>
      <c r="AR58" s="177">
        <v>5872</v>
      </c>
      <c r="AS58" s="177">
        <v>8.0699999999999994E-2</v>
      </c>
      <c r="AT58" s="29">
        <v>-0.01</v>
      </c>
      <c r="AU58" s="29">
        <v>2.8715500000000001E-2</v>
      </c>
      <c r="AV58" s="16">
        <v>0.727657</v>
      </c>
      <c r="AW58" s="43">
        <v>0.99902199999999997</v>
      </c>
      <c r="AX58" s="4"/>
    </row>
    <row r="59" spans="1:50" x14ac:dyDescent="0.25">
      <c r="A59" s="1" t="s">
        <v>900</v>
      </c>
      <c r="B59" s="1301">
        <v>40</v>
      </c>
      <c r="C59" s="1" t="s">
        <v>161</v>
      </c>
      <c r="D59" s="1">
        <v>16</v>
      </c>
      <c r="E59" s="1">
        <v>4432029</v>
      </c>
      <c r="F59" s="60" t="s">
        <v>948</v>
      </c>
      <c r="G59" s="2" t="s">
        <v>162</v>
      </c>
      <c r="I59" s="1" t="s">
        <v>16</v>
      </c>
      <c r="J59" s="1" t="s">
        <v>17</v>
      </c>
      <c r="K59" s="8"/>
      <c r="L59" s="177">
        <v>207400</v>
      </c>
      <c r="M59" s="29">
        <v>0.23369999999999999</v>
      </c>
      <c r="N59" s="29">
        <v>1.34E-2</v>
      </c>
      <c r="O59" s="29">
        <v>3.7000000000000002E-3</v>
      </c>
      <c r="P59" s="16">
        <v>2.5839999999999999E-4</v>
      </c>
      <c r="Q59" s="13">
        <v>0.32585209999999998</v>
      </c>
      <c r="R59" s="19">
        <v>191078</v>
      </c>
      <c r="S59" s="29">
        <v>0.2243</v>
      </c>
      <c r="T59" s="29">
        <v>1.3599999999999999E-2</v>
      </c>
      <c r="U59" s="29">
        <v>3.8999999999999998E-3</v>
      </c>
      <c r="V59" s="16">
        <v>4.394E-4</v>
      </c>
      <c r="W59" s="16">
        <v>0.43192409999999998</v>
      </c>
      <c r="X59" s="8"/>
      <c r="Y59" s="177">
        <v>145101</v>
      </c>
      <c r="Z59" s="29">
        <v>0.236845</v>
      </c>
      <c r="AA59" s="29">
        <v>1.1155999999999999E-2</v>
      </c>
      <c r="AB59" s="29">
        <v>4.3779999999999999E-3</v>
      </c>
      <c r="AC59" s="16">
        <v>1.0800000000000001E-2</v>
      </c>
      <c r="AD59" s="1">
        <v>128779</v>
      </c>
      <c r="AE59" s="4">
        <v>0.22319</v>
      </c>
      <c r="AF59" s="4">
        <v>1.107E-2</v>
      </c>
      <c r="AG59" s="4">
        <v>4.7299999999999998E-3</v>
      </c>
      <c r="AH59" s="5">
        <v>1.9099999999999999E-2</v>
      </c>
      <c r="AI59" s="8"/>
      <c r="AJ59" s="1">
        <v>56427</v>
      </c>
      <c r="AK59" s="4">
        <v>0.2261</v>
      </c>
      <c r="AL59" s="4">
        <v>1.6719999999999999E-2</v>
      </c>
      <c r="AM59" s="4">
        <v>7.1339999999999997E-3</v>
      </c>
      <c r="AN59" s="5">
        <v>1.908E-2</v>
      </c>
      <c r="AO59" s="5">
        <v>1.074E-2</v>
      </c>
      <c r="AP59" s="4"/>
      <c r="AQ59" s="8"/>
      <c r="AR59" s="177">
        <v>5872</v>
      </c>
      <c r="AS59" s="177">
        <v>0.22875999999999999</v>
      </c>
      <c r="AT59" s="29">
        <v>3.3000000000000002E-2</v>
      </c>
      <c r="AU59" s="29">
        <v>1.9554700000000001E-2</v>
      </c>
      <c r="AV59" s="16">
        <v>9.1492299999999999E-2</v>
      </c>
      <c r="AW59" s="43">
        <v>0.99853499999999995</v>
      </c>
      <c r="AX59" s="4"/>
    </row>
    <row r="60" spans="1:50" x14ac:dyDescent="0.25">
      <c r="A60" s="1" t="s">
        <v>900</v>
      </c>
      <c r="B60" s="1301"/>
      <c r="C60" s="1" t="s">
        <v>164</v>
      </c>
      <c r="D60" s="1">
        <v>16</v>
      </c>
      <c r="E60" s="1">
        <v>4445327</v>
      </c>
      <c r="F60" s="60" t="s">
        <v>949</v>
      </c>
      <c r="G60" s="2" t="s">
        <v>165</v>
      </c>
      <c r="I60" s="1" t="s">
        <v>17</v>
      </c>
      <c r="J60" s="1" t="s">
        <v>23</v>
      </c>
      <c r="K60" s="8"/>
      <c r="L60" s="177">
        <v>208838</v>
      </c>
      <c r="M60" s="29">
        <v>0.29749999999999999</v>
      </c>
      <c r="N60" s="29">
        <v>1.26E-2</v>
      </c>
      <c r="O60" s="29">
        <v>3.3999999999999998E-3</v>
      </c>
      <c r="P60" s="16">
        <v>2.2369999999999999E-4</v>
      </c>
      <c r="Q60" s="13">
        <v>4.3266300000000001E-2</v>
      </c>
      <c r="R60" s="19">
        <v>192215</v>
      </c>
      <c r="S60" s="29">
        <v>0.27910000000000001</v>
      </c>
      <c r="T60" s="29">
        <v>1.2800000000000001E-2</v>
      </c>
      <c r="U60" s="29">
        <v>3.5999999999999999E-3</v>
      </c>
      <c r="V60" s="16">
        <v>3.3060000000000001E-4</v>
      </c>
      <c r="W60" s="16">
        <v>4.8309900000000003E-2</v>
      </c>
      <c r="X60" s="8"/>
      <c r="Y60" s="177">
        <v>146412</v>
      </c>
      <c r="Z60" s="29">
        <v>0.30520199999999997</v>
      </c>
      <c r="AA60" s="29">
        <v>8.8620000000000001E-3</v>
      </c>
      <c r="AB60" s="29">
        <v>4.1019999999999997E-3</v>
      </c>
      <c r="AC60" s="16">
        <v>3.0700000000000002E-2</v>
      </c>
      <c r="AD60" s="1">
        <v>129789</v>
      </c>
      <c r="AE60" s="4">
        <v>0.27868999999999999</v>
      </c>
      <c r="AF60" s="4">
        <v>8.6499999999999997E-3</v>
      </c>
      <c r="AG60" s="4">
        <v>4.3699999999999998E-3</v>
      </c>
      <c r="AH60" s="5">
        <v>4.7699999999999999E-2</v>
      </c>
      <c r="AI60" s="8"/>
      <c r="AJ60" s="1">
        <v>56554</v>
      </c>
      <c r="AK60" s="4">
        <v>0.28120000000000001</v>
      </c>
      <c r="AL60" s="4">
        <v>1.9859999999999999E-2</v>
      </c>
      <c r="AM60" s="4">
        <v>6.6010000000000001E-3</v>
      </c>
      <c r="AN60" s="5">
        <v>2.6319999999999998E-3</v>
      </c>
      <c r="AO60" s="5">
        <v>0.38779999999999998</v>
      </c>
      <c r="AP60" s="4"/>
      <c r="AQ60" s="8"/>
      <c r="AR60" s="177">
        <v>5872</v>
      </c>
      <c r="AS60" s="177">
        <v>0.27088000000000001</v>
      </c>
      <c r="AT60" s="29">
        <v>3.2000000000000001E-2</v>
      </c>
      <c r="AU60" s="29">
        <v>1.8265799999999999E-2</v>
      </c>
      <c r="AV60" s="16">
        <v>7.9788899999999996E-2</v>
      </c>
      <c r="AW60" s="43">
        <v>0.99955700000000003</v>
      </c>
      <c r="AX60" s="4"/>
    </row>
    <row r="61" spans="1:50" x14ac:dyDescent="0.25">
      <c r="A61" s="1" t="s">
        <v>900</v>
      </c>
      <c r="B61" s="1301"/>
      <c r="C61" s="1" t="s">
        <v>167</v>
      </c>
      <c r="D61" s="1">
        <v>16</v>
      </c>
      <c r="E61" s="1">
        <v>4484396</v>
      </c>
      <c r="F61" s="60" t="s">
        <v>950</v>
      </c>
      <c r="G61" s="2" t="s">
        <v>168</v>
      </c>
      <c r="I61" s="1" t="s">
        <v>16</v>
      </c>
      <c r="J61" s="1" t="s">
        <v>23</v>
      </c>
      <c r="K61" s="8"/>
      <c r="L61" s="177">
        <v>197716</v>
      </c>
      <c r="M61" s="29">
        <v>0.28620000000000001</v>
      </c>
      <c r="N61" s="29">
        <v>1.15E-2</v>
      </c>
      <c r="O61" s="29">
        <v>3.5000000000000001E-3</v>
      </c>
      <c r="P61" s="16">
        <v>1.0560000000000001E-3</v>
      </c>
      <c r="Q61" s="13">
        <v>0.14241229999999999</v>
      </c>
      <c r="R61" s="19">
        <v>181093</v>
      </c>
      <c r="S61" s="29">
        <v>0.27679999999999999</v>
      </c>
      <c r="T61" s="29">
        <v>1.3299999999999999E-2</v>
      </c>
      <c r="U61" s="29">
        <v>3.7000000000000002E-3</v>
      </c>
      <c r="V61" s="16">
        <v>3.3139999999999998E-4</v>
      </c>
      <c r="W61" s="16">
        <v>0.26770949999999999</v>
      </c>
      <c r="X61" s="8"/>
      <c r="Y61" s="177">
        <v>135316</v>
      </c>
      <c r="Z61" s="29">
        <v>0.29054400000000002</v>
      </c>
      <c r="AA61" s="29">
        <v>6.9160000000000003E-3</v>
      </c>
      <c r="AB61" s="29">
        <v>4.2440000000000004E-3</v>
      </c>
      <c r="AC61" s="16">
        <v>0.10299999999999999</v>
      </c>
      <c r="AD61" s="1">
        <v>118693</v>
      </c>
      <c r="AE61" s="4">
        <v>0.27678999999999998</v>
      </c>
      <c r="AF61" s="4">
        <v>8.8699999999999994E-3</v>
      </c>
      <c r="AG61" s="4">
        <v>4.5799999999999999E-3</v>
      </c>
      <c r="AH61" s="5">
        <v>5.2900000000000003E-2</v>
      </c>
      <c r="AI61" s="8"/>
      <c r="AJ61" s="1">
        <v>56528</v>
      </c>
      <c r="AK61" s="4">
        <v>0.27910000000000001</v>
      </c>
      <c r="AL61" s="4">
        <v>2.0539999999999999E-2</v>
      </c>
      <c r="AM61" s="4">
        <v>6.6270000000000001E-3</v>
      </c>
      <c r="AN61" s="5">
        <v>1.9449999999999999E-3</v>
      </c>
      <c r="AO61" s="5">
        <v>0.3548</v>
      </c>
      <c r="AP61" s="4"/>
      <c r="AQ61" s="8"/>
      <c r="AR61" s="177">
        <v>5872</v>
      </c>
      <c r="AS61" s="177">
        <v>0.25802000000000003</v>
      </c>
      <c r="AT61" s="29">
        <v>2.8000000000000001E-2</v>
      </c>
      <c r="AU61" s="29">
        <v>1.8518699999999999E-2</v>
      </c>
      <c r="AV61" s="16">
        <v>0.13053799999999999</v>
      </c>
      <c r="AW61" s="43">
        <v>0.99996099999999999</v>
      </c>
      <c r="AX61" s="4"/>
    </row>
    <row r="62" spans="1:50" x14ac:dyDescent="0.25">
      <c r="A62" s="177" t="s">
        <v>905</v>
      </c>
      <c r="B62" s="904">
        <v>41</v>
      </c>
      <c r="C62" s="177" t="s">
        <v>951</v>
      </c>
      <c r="D62" s="177">
        <v>16</v>
      </c>
      <c r="E62" s="177">
        <v>14041570</v>
      </c>
      <c r="F62" s="60" t="s">
        <v>952</v>
      </c>
      <c r="G62" s="2" t="s">
        <v>953</v>
      </c>
      <c r="I62" s="177" t="s">
        <v>23</v>
      </c>
      <c r="J62" s="177" t="s">
        <v>17</v>
      </c>
      <c r="K62" s="8"/>
      <c r="L62" s="177">
        <v>221869</v>
      </c>
      <c r="M62" s="29">
        <v>0.99590000000000001</v>
      </c>
      <c r="N62" s="29">
        <v>-4.4699999999999997E-2</v>
      </c>
      <c r="O62" s="29">
        <v>0.1115</v>
      </c>
      <c r="P62" s="16">
        <v>0.68840000000000001</v>
      </c>
      <c r="Q62" s="13">
        <v>0.49325219999999997</v>
      </c>
      <c r="R62" s="19">
        <v>188607</v>
      </c>
      <c r="S62" s="29">
        <v>0.99590000000000001</v>
      </c>
      <c r="T62" s="29">
        <v>-4.4699999999999997E-2</v>
      </c>
      <c r="U62" s="29">
        <v>0.1115</v>
      </c>
      <c r="V62" s="16">
        <v>0.68840000000000001</v>
      </c>
      <c r="W62" s="16">
        <v>0.49325219999999997</v>
      </c>
      <c r="X62" s="8"/>
      <c r="Y62" s="177">
        <v>159422</v>
      </c>
      <c r="Z62" s="29">
        <v>0.99966999999999995</v>
      </c>
      <c r="AA62" s="29">
        <v>2.997954</v>
      </c>
      <c r="AB62" s="29">
        <v>0.57513700000000001</v>
      </c>
      <c r="AC62" s="16">
        <v>1.86E-7</v>
      </c>
      <c r="AD62" s="1">
        <v>126160</v>
      </c>
      <c r="AE62" s="4">
        <v>0.99958000000000002</v>
      </c>
      <c r="AF62" s="4">
        <v>2.9979499999999999</v>
      </c>
      <c r="AG62" s="4">
        <v>0.57513999999999998</v>
      </c>
      <c r="AH62" s="5">
        <v>1.86E-7</v>
      </c>
      <c r="AI62" s="8"/>
      <c r="AJ62" s="1">
        <v>56575</v>
      </c>
      <c r="AK62" s="4">
        <v>0.99682000000000004</v>
      </c>
      <c r="AL62" s="4">
        <v>7.7619999999999995E-2</v>
      </c>
      <c r="AM62" s="4">
        <v>0.70579999999999998</v>
      </c>
      <c r="AN62" s="5">
        <v>0.91239999999999999</v>
      </c>
      <c r="AO62" s="5"/>
      <c r="AP62" s="4">
        <v>0.78290899999999997</v>
      </c>
      <c r="AQ62" s="8"/>
      <c r="AR62" s="177">
        <v>5872</v>
      </c>
      <c r="AS62" s="177">
        <v>0.99568000000000001</v>
      </c>
      <c r="AT62" s="29">
        <v>-0.17</v>
      </c>
      <c r="AU62" s="29">
        <v>0.1151768</v>
      </c>
      <c r="AV62" s="16">
        <v>0.13994609999999999</v>
      </c>
      <c r="AW62" s="43">
        <v>0.99627600000000005</v>
      </c>
      <c r="AX62" s="4"/>
    </row>
    <row r="63" spans="1:50" x14ac:dyDescent="0.25">
      <c r="A63" s="1" t="s">
        <v>900</v>
      </c>
      <c r="B63" s="1301">
        <v>42</v>
      </c>
      <c r="C63" s="1" t="s">
        <v>170</v>
      </c>
      <c r="D63" s="1">
        <v>16</v>
      </c>
      <c r="E63" s="1">
        <v>67397580</v>
      </c>
      <c r="F63" s="1303" t="s">
        <v>171</v>
      </c>
      <c r="G63" s="2" t="s">
        <v>172</v>
      </c>
      <c r="H63" s="1235" t="s">
        <v>173</v>
      </c>
      <c r="I63" s="1" t="s">
        <v>24</v>
      </c>
      <c r="J63" s="1" t="s">
        <v>17</v>
      </c>
      <c r="K63" s="8"/>
      <c r="L63" s="177">
        <v>223357</v>
      </c>
      <c r="M63" s="29">
        <v>0.9425</v>
      </c>
      <c r="N63" s="29">
        <v>3.2099999999999997E-2</v>
      </c>
      <c r="O63" s="29">
        <v>6.7000000000000002E-3</v>
      </c>
      <c r="P63" s="16">
        <v>1.6199999999999999E-6</v>
      </c>
      <c r="Q63" s="13">
        <v>0.58924319999999997</v>
      </c>
      <c r="R63" s="19">
        <v>190095</v>
      </c>
      <c r="S63" s="29">
        <v>0.95640000000000003</v>
      </c>
      <c r="T63" s="29">
        <v>2.92E-2</v>
      </c>
      <c r="U63" s="29">
        <v>7.9000000000000008E-3</v>
      </c>
      <c r="V63" s="16">
        <v>2.143E-4</v>
      </c>
      <c r="W63" s="16">
        <v>0.19196240000000001</v>
      </c>
      <c r="X63" s="8"/>
      <c r="Y63" s="177">
        <v>160920</v>
      </c>
      <c r="Z63" s="29">
        <v>0.93803099999999995</v>
      </c>
      <c r="AA63" s="29">
        <v>3.1573999999999998E-2</v>
      </c>
      <c r="AB63" s="29">
        <v>7.6790000000000001E-3</v>
      </c>
      <c r="AC63" s="16">
        <v>3.9199999999999997E-5</v>
      </c>
      <c r="AD63" s="1">
        <v>127658</v>
      </c>
      <c r="AE63" s="4">
        <v>0.95630999999999999</v>
      </c>
      <c r="AF63" s="4">
        <v>2.691E-2</v>
      </c>
      <c r="AG63" s="4">
        <v>9.6600000000000002E-3</v>
      </c>
      <c r="AH63" s="5">
        <v>5.3499999999999997E-3</v>
      </c>
      <c r="AI63" s="8"/>
      <c r="AJ63" s="1">
        <v>56565</v>
      </c>
      <c r="AK63" s="4">
        <v>0.95623000000000002</v>
      </c>
      <c r="AL63" s="4">
        <v>2.8490000000000001E-2</v>
      </c>
      <c r="AM63" s="4">
        <v>1.451E-2</v>
      </c>
      <c r="AN63" s="5">
        <v>4.9639999999999997E-2</v>
      </c>
      <c r="AO63" s="5">
        <v>0.28510000000000002</v>
      </c>
      <c r="AP63" s="4"/>
      <c r="AQ63" s="8"/>
      <c r="AR63" s="177">
        <v>5872</v>
      </c>
      <c r="AS63" s="177">
        <v>0.95867999999999998</v>
      </c>
      <c r="AT63" s="29">
        <v>7.5999999999999998E-2</v>
      </c>
      <c r="AU63" s="29">
        <v>4.0894899999999998E-2</v>
      </c>
      <c r="AV63" s="16">
        <v>6.3108800000000007E-2</v>
      </c>
      <c r="AW63" s="43">
        <v>0.99928899999999998</v>
      </c>
      <c r="AX63" s="4"/>
    </row>
    <row r="64" spans="1:50" x14ac:dyDescent="0.25">
      <c r="A64" s="1" t="s">
        <v>900</v>
      </c>
      <c r="B64" s="1301"/>
      <c r="C64" s="1" t="s">
        <v>175</v>
      </c>
      <c r="D64" s="1">
        <v>16</v>
      </c>
      <c r="E64" s="1">
        <v>67409180</v>
      </c>
      <c r="F64" s="1303"/>
      <c r="G64" s="2" t="s">
        <v>176</v>
      </c>
      <c r="H64" s="1233"/>
      <c r="I64" s="1" t="s">
        <v>24</v>
      </c>
      <c r="J64" s="1" t="s">
        <v>16</v>
      </c>
      <c r="K64" s="8"/>
      <c r="L64" s="177">
        <v>225505</v>
      </c>
      <c r="M64" s="29">
        <v>0.94269999999999998</v>
      </c>
      <c r="N64" s="29">
        <v>3.0300000000000001E-2</v>
      </c>
      <c r="O64" s="29">
        <v>6.7000000000000002E-3</v>
      </c>
      <c r="P64" s="16">
        <v>5.8000000000000004E-6</v>
      </c>
      <c r="Q64" s="13">
        <v>0.39962239999999999</v>
      </c>
      <c r="R64" s="19">
        <v>192243</v>
      </c>
      <c r="S64" s="29">
        <v>0.95660000000000001</v>
      </c>
      <c r="T64" s="29">
        <v>2.64E-2</v>
      </c>
      <c r="U64" s="29">
        <v>7.9000000000000008E-3</v>
      </c>
      <c r="V64" s="16">
        <v>7.8080000000000001E-4</v>
      </c>
      <c r="W64" s="16">
        <v>9.7632099999999999E-2</v>
      </c>
      <c r="X64" s="8"/>
      <c r="Y64" s="177">
        <v>163051</v>
      </c>
      <c r="Z64" s="29">
        <v>0.938365</v>
      </c>
      <c r="AA64" s="29">
        <v>3.0164E-2</v>
      </c>
      <c r="AB64" s="29">
        <v>7.6439999999999998E-3</v>
      </c>
      <c r="AC64" s="16">
        <v>7.9400000000000006E-5</v>
      </c>
      <c r="AD64" s="1">
        <v>129789</v>
      </c>
      <c r="AE64" s="4">
        <v>0.95645000000000002</v>
      </c>
      <c r="AF64" s="4">
        <v>2.4369999999999999E-2</v>
      </c>
      <c r="AG64" s="4">
        <v>9.5999999999999992E-3</v>
      </c>
      <c r="AH64" s="5">
        <v>1.11E-2</v>
      </c>
      <c r="AI64" s="8"/>
      <c r="AJ64" s="1">
        <v>56582</v>
      </c>
      <c r="AK64" s="4">
        <v>0.95638999999999996</v>
      </c>
      <c r="AL64" s="4">
        <v>2.6429999999999999E-2</v>
      </c>
      <c r="AM64" s="4">
        <v>1.453E-2</v>
      </c>
      <c r="AN64" s="5">
        <v>6.905E-2</v>
      </c>
      <c r="AO64" s="5">
        <v>0.33279999999999998</v>
      </c>
      <c r="AP64" s="4"/>
      <c r="AQ64" s="8"/>
      <c r="AR64" s="177">
        <v>5872</v>
      </c>
      <c r="AS64" s="177">
        <v>0.96040999999999999</v>
      </c>
      <c r="AT64" s="29">
        <v>6.7000000000000004E-2</v>
      </c>
      <c r="AU64" s="29">
        <v>4.2427899999999998E-2</v>
      </c>
      <c r="AV64" s="16">
        <v>0.114302</v>
      </c>
      <c r="AW64" s="43">
        <v>0.99997899999999995</v>
      </c>
      <c r="AX64" s="4"/>
    </row>
    <row r="65" spans="1:50" x14ac:dyDescent="0.25">
      <c r="A65" s="1" t="s">
        <v>905</v>
      </c>
      <c r="B65" s="904">
        <v>43</v>
      </c>
      <c r="C65" s="1" t="s">
        <v>205</v>
      </c>
      <c r="D65" s="1">
        <v>17</v>
      </c>
      <c r="E65" s="1">
        <v>17425631</v>
      </c>
      <c r="F65" s="60" t="s">
        <v>206</v>
      </c>
      <c r="G65" s="2" t="s">
        <v>207</v>
      </c>
      <c r="H65" s="889" t="s">
        <v>208</v>
      </c>
      <c r="I65" s="1" t="s">
        <v>17</v>
      </c>
      <c r="J65" s="1" t="s">
        <v>23</v>
      </c>
      <c r="K65" s="8"/>
      <c r="L65" s="177">
        <v>226756</v>
      </c>
      <c r="M65" s="29">
        <v>0.57509999999999994</v>
      </c>
      <c r="N65" s="29">
        <v>2.6200000000000001E-2</v>
      </c>
      <c r="O65" s="29">
        <v>5.4000000000000003E-3</v>
      </c>
      <c r="P65" s="16">
        <v>1.2899999999999999E-6</v>
      </c>
      <c r="Q65" s="13">
        <v>0.81918690000000005</v>
      </c>
      <c r="R65" s="19">
        <v>193494</v>
      </c>
      <c r="S65" s="29">
        <v>0.53949999999999998</v>
      </c>
      <c r="T65" s="29">
        <v>2.7099999999999999E-2</v>
      </c>
      <c r="U65" s="29">
        <v>5.4999999999999997E-3</v>
      </c>
      <c r="V65" s="16">
        <v>9.6899999999999996E-7</v>
      </c>
      <c r="W65" s="16">
        <v>0.78166530000000001</v>
      </c>
      <c r="X65" s="8"/>
      <c r="Y65" s="177">
        <v>164238</v>
      </c>
      <c r="Z65" s="29">
        <v>0.59631699999999999</v>
      </c>
      <c r="AA65" s="29">
        <v>2.4857000000000001E-2</v>
      </c>
      <c r="AB65" s="29">
        <v>6.5770000000000004E-3</v>
      </c>
      <c r="AC65" s="16">
        <v>1.5699999999999999E-4</v>
      </c>
      <c r="AD65" s="1">
        <v>130976</v>
      </c>
      <c r="AE65" s="4">
        <v>0.54418999999999995</v>
      </c>
      <c r="AF65" s="4">
        <v>2.6089999999999999E-2</v>
      </c>
      <c r="AG65" s="4">
        <v>6.79E-3</v>
      </c>
      <c r="AH65" s="5">
        <v>1.21E-4</v>
      </c>
      <c r="AI65" s="8"/>
      <c r="AJ65" s="1">
        <v>56646</v>
      </c>
      <c r="AK65" s="4">
        <v>0.52371000000000001</v>
      </c>
      <c r="AL65" s="4">
        <v>3.5298299999999998E-2</v>
      </c>
      <c r="AM65" s="4">
        <v>1.0035000000000001E-2</v>
      </c>
      <c r="AN65" s="5">
        <v>4.3560000000000002E-4</v>
      </c>
      <c r="AO65" s="5"/>
      <c r="AP65" s="4">
        <v>1</v>
      </c>
      <c r="AQ65" s="8"/>
      <c r="AR65" s="177">
        <v>5872</v>
      </c>
      <c r="AS65" s="177">
        <v>0.59602999999999995</v>
      </c>
      <c r="AT65" s="29">
        <v>-3.2000000000000001E-2</v>
      </c>
      <c r="AU65" s="29">
        <v>3.1686199999999998E-2</v>
      </c>
      <c r="AV65" s="16">
        <v>0.31254199999999999</v>
      </c>
      <c r="AW65" s="43">
        <v>0.99684700000000004</v>
      </c>
      <c r="AX65" s="4"/>
    </row>
    <row r="66" spans="1:50" x14ac:dyDescent="0.25">
      <c r="A66" s="177" t="s">
        <v>900</v>
      </c>
      <c r="B66" s="904">
        <v>44</v>
      </c>
      <c r="C66" s="177" t="s">
        <v>954</v>
      </c>
      <c r="D66" s="177">
        <v>19</v>
      </c>
      <c r="E66" s="177">
        <v>422171</v>
      </c>
      <c r="F66" s="60" t="s">
        <v>955</v>
      </c>
      <c r="G66" s="2" t="s">
        <v>956</v>
      </c>
      <c r="I66" s="177" t="s">
        <v>17</v>
      </c>
      <c r="J66" s="177" t="s">
        <v>16</v>
      </c>
      <c r="K66" s="8"/>
      <c r="L66" s="177">
        <v>90264</v>
      </c>
      <c r="M66" s="29">
        <v>6.9999999999999999E-4</v>
      </c>
      <c r="N66" s="29">
        <v>0.33129999999999998</v>
      </c>
      <c r="O66" s="29">
        <v>9.0499999999999997E-2</v>
      </c>
      <c r="P66" s="16">
        <v>2.522E-4</v>
      </c>
      <c r="Q66" s="13">
        <v>0.53194810000000003</v>
      </c>
      <c r="R66" s="19">
        <v>61587</v>
      </c>
      <c r="S66" s="29">
        <v>1E-3</v>
      </c>
      <c r="T66" s="29">
        <v>0.33090000000000003</v>
      </c>
      <c r="U66" s="29">
        <v>9.11E-2</v>
      </c>
      <c r="V66" s="16">
        <v>2.8039999999999999E-4</v>
      </c>
      <c r="W66" s="16">
        <v>0.56493499999999996</v>
      </c>
      <c r="X66" s="8"/>
      <c r="Y66" s="177">
        <v>90264</v>
      </c>
      <c r="Z66" s="29">
        <v>6.8000000000000005E-4</v>
      </c>
      <c r="AA66" s="29">
        <v>0.33126499999999998</v>
      </c>
      <c r="AB66" s="29">
        <v>9.0508000000000005E-2</v>
      </c>
      <c r="AC66" s="16">
        <v>2.52E-4</v>
      </c>
      <c r="AD66" s="1">
        <v>61587</v>
      </c>
      <c r="AE66" s="4">
        <v>9.8999999999999999E-4</v>
      </c>
      <c r="AF66" s="4">
        <v>0.33090999999999998</v>
      </c>
      <c r="AG66" s="4">
        <v>9.1090000000000004E-2</v>
      </c>
      <c r="AH66" s="5">
        <v>2.81E-4</v>
      </c>
      <c r="AI66" s="8"/>
      <c r="AK66" s="4"/>
      <c r="AL66" s="4"/>
      <c r="AM66" s="4"/>
      <c r="AN66" s="5"/>
      <c r="AO66" s="5"/>
      <c r="AP66" s="4"/>
      <c r="AQ66" s="8"/>
      <c r="AR66" s="177"/>
      <c r="AS66" s="177"/>
      <c r="AT66" s="29"/>
      <c r="AU66" s="29"/>
      <c r="AV66" s="16"/>
      <c r="AW66" s="43"/>
      <c r="AX66" s="4"/>
    </row>
    <row r="67" spans="1:50" x14ac:dyDescent="0.25">
      <c r="A67" s="177" t="s">
        <v>900</v>
      </c>
      <c r="B67" s="904">
        <v>45</v>
      </c>
      <c r="C67" s="177" t="s">
        <v>261</v>
      </c>
      <c r="D67" s="177">
        <v>19</v>
      </c>
      <c r="E67" s="177">
        <v>8429323</v>
      </c>
      <c r="F67" s="60" t="s">
        <v>262</v>
      </c>
      <c r="G67" s="2" t="s">
        <v>263</v>
      </c>
      <c r="I67" s="177" t="s">
        <v>24</v>
      </c>
      <c r="J67" s="177" t="s">
        <v>16</v>
      </c>
      <c r="K67" s="8"/>
      <c r="L67" s="177">
        <v>203098</v>
      </c>
      <c r="M67" s="29">
        <v>0.98050000000000004</v>
      </c>
      <c r="N67" s="29">
        <v>-1.6799999999999999E-2</v>
      </c>
      <c r="O67" s="29">
        <v>1.1299999999999999E-2</v>
      </c>
      <c r="P67" s="16">
        <v>0.13780000000000001</v>
      </c>
      <c r="Q67" s="13">
        <v>1.3199999999999999E-7</v>
      </c>
      <c r="R67" s="19">
        <v>187536</v>
      </c>
      <c r="S67" s="29">
        <v>0.97909999999999997</v>
      </c>
      <c r="T67" s="29">
        <v>-1.6400000000000001E-2</v>
      </c>
      <c r="U67" s="29">
        <v>1.14E-2</v>
      </c>
      <c r="V67" s="16">
        <v>0.15129999999999999</v>
      </c>
      <c r="W67" s="16">
        <v>1.1000000000000001E-7</v>
      </c>
      <c r="X67" s="8"/>
      <c r="Y67" s="177">
        <v>140633</v>
      </c>
      <c r="Z67" s="29">
        <v>0.98065599999999997</v>
      </c>
      <c r="AA67" s="29">
        <v>-1.5626000000000001E-2</v>
      </c>
      <c r="AB67" s="29">
        <v>1.3618999999999999E-2</v>
      </c>
      <c r="AC67" s="16">
        <v>0.251</v>
      </c>
      <c r="AD67" s="1">
        <v>125071</v>
      </c>
      <c r="AE67" s="4">
        <v>0.97858000000000001</v>
      </c>
      <c r="AF67" s="4">
        <v>-1.4930000000000001E-2</v>
      </c>
      <c r="AG67" s="4">
        <v>1.3729999999999999E-2</v>
      </c>
      <c r="AH67" s="5">
        <v>0.27700000000000002</v>
      </c>
      <c r="AI67" s="8"/>
      <c r="AJ67" s="1">
        <v>56593</v>
      </c>
      <c r="AK67" s="4">
        <v>0.98082999999999998</v>
      </c>
      <c r="AL67" s="4">
        <v>-1.3390000000000001E-2</v>
      </c>
      <c r="AM67" s="4">
        <v>2.1839999999999998E-2</v>
      </c>
      <c r="AN67" s="5">
        <v>0.53990000000000005</v>
      </c>
      <c r="AO67" s="5">
        <v>5.9500000000000003E-5</v>
      </c>
      <c r="AP67" s="4"/>
      <c r="AQ67" s="8"/>
      <c r="AR67" s="177">
        <v>5872</v>
      </c>
      <c r="AS67" s="177">
        <v>0.97570000000000001</v>
      </c>
      <c r="AT67" s="29">
        <v>-6.2E-2</v>
      </c>
      <c r="AU67" s="29">
        <v>5.7630800000000003E-2</v>
      </c>
      <c r="AV67" s="16">
        <v>0.28201100000000001</v>
      </c>
      <c r="AW67" s="43">
        <v>0.99202599999999996</v>
      </c>
      <c r="AX67" s="4"/>
    </row>
    <row r="68" spans="1:50" x14ac:dyDescent="0.25">
      <c r="A68" s="177" t="s">
        <v>900</v>
      </c>
      <c r="B68" s="1301">
        <v>46</v>
      </c>
      <c r="C68" s="177" t="s">
        <v>178</v>
      </c>
      <c r="D68" s="177">
        <v>19</v>
      </c>
      <c r="E68" s="177">
        <v>18285944</v>
      </c>
      <c r="F68" s="60" t="s">
        <v>957</v>
      </c>
      <c r="G68" s="2" t="s">
        <v>179</v>
      </c>
      <c r="H68" s="1233" t="s">
        <v>180</v>
      </c>
      <c r="I68" s="177" t="s">
        <v>16</v>
      </c>
      <c r="J68" s="177" t="s">
        <v>24</v>
      </c>
      <c r="K68" s="8"/>
      <c r="L68" s="177">
        <v>226673</v>
      </c>
      <c r="M68" s="29">
        <v>0.25459999999999999</v>
      </c>
      <c r="N68" s="29">
        <v>8.0000000000000002E-3</v>
      </c>
      <c r="O68" s="29">
        <v>3.3999999999999998E-3</v>
      </c>
      <c r="P68" s="16">
        <v>1.8599999999999998E-2</v>
      </c>
      <c r="Q68" s="13">
        <v>3.1164999999999999E-3</v>
      </c>
      <c r="R68" s="19">
        <v>193411</v>
      </c>
      <c r="S68" s="29">
        <v>0.26540000000000002</v>
      </c>
      <c r="T68" s="29">
        <v>7.4000000000000003E-3</v>
      </c>
      <c r="U68" s="29">
        <v>3.5999999999999999E-3</v>
      </c>
      <c r="V68" s="16">
        <v>4.1669999999999999E-2</v>
      </c>
      <c r="W68" s="16">
        <v>1.3169E-3</v>
      </c>
      <c r="X68" s="8"/>
      <c r="Y68" s="177">
        <v>164238</v>
      </c>
      <c r="Z68" s="29">
        <v>0.249726</v>
      </c>
      <c r="AA68" s="29">
        <v>8.149E-3</v>
      </c>
      <c r="AB68" s="29">
        <v>4.0439999999999999E-3</v>
      </c>
      <c r="AC68" s="16">
        <v>4.3900000000000002E-2</v>
      </c>
      <c r="AD68" s="1">
        <v>130976</v>
      </c>
      <c r="AE68" s="4">
        <v>0.26490999999999998</v>
      </c>
      <c r="AF68" s="4">
        <v>7.2399999999999999E-3</v>
      </c>
      <c r="AG68" s="4">
        <v>4.4299999999999999E-3</v>
      </c>
      <c r="AH68" s="5">
        <v>0.10199999999999999</v>
      </c>
      <c r="AI68" s="8"/>
      <c r="AJ68" s="1">
        <v>56563</v>
      </c>
      <c r="AK68" s="4">
        <v>0.26950000000000002</v>
      </c>
      <c r="AL68" s="4">
        <v>5.7949999999999998E-3</v>
      </c>
      <c r="AM68" s="4">
        <v>6.6880000000000004E-3</v>
      </c>
      <c r="AN68" s="5">
        <v>0.38619999999999999</v>
      </c>
      <c r="AO68" s="5">
        <v>0.70320000000000005</v>
      </c>
      <c r="AP68" s="4"/>
      <c r="AQ68" s="8"/>
      <c r="AR68" s="177">
        <v>5872</v>
      </c>
      <c r="AS68" s="177">
        <v>0.23957999999999999</v>
      </c>
      <c r="AT68" s="29">
        <v>2.4E-2</v>
      </c>
      <c r="AU68" s="29">
        <v>1.9553399999999999E-2</v>
      </c>
      <c r="AV68" s="16">
        <v>0.21967</v>
      </c>
      <c r="AW68" s="43">
        <v>0.99893299999999996</v>
      </c>
      <c r="AX68" s="4"/>
    </row>
    <row r="69" spans="1:50" x14ac:dyDescent="0.25">
      <c r="A69" s="177" t="s">
        <v>900</v>
      </c>
      <c r="B69" s="1301"/>
      <c r="C69" s="177" t="s">
        <v>182</v>
      </c>
      <c r="D69" s="177">
        <v>19</v>
      </c>
      <c r="E69" s="177">
        <v>18304700</v>
      </c>
      <c r="F69" s="60" t="s">
        <v>958</v>
      </c>
      <c r="G69" s="2" t="s">
        <v>183</v>
      </c>
      <c r="H69" s="1233"/>
      <c r="I69" s="177" t="s">
        <v>24</v>
      </c>
      <c r="J69" s="177" t="s">
        <v>16</v>
      </c>
      <c r="K69" s="8"/>
      <c r="L69" s="177">
        <v>226677</v>
      </c>
      <c r="M69" s="29">
        <v>0.2681</v>
      </c>
      <c r="N69" s="29">
        <v>8.0999999999999996E-3</v>
      </c>
      <c r="O69" s="29">
        <v>3.3E-3</v>
      </c>
      <c r="P69" s="16">
        <v>1.6029999999999999E-2</v>
      </c>
      <c r="Q69" s="13">
        <v>2.4946999999999999E-3</v>
      </c>
      <c r="R69" s="19">
        <v>193415</v>
      </c>
      <c r="S69" s="29">
        <v>0.28129999999999999</v>
      </c>
      <c r="T69" s="29">
        <v>7.6E-3</v>
      </c>
      <c r="U69" s="29">
        <v>3.5999999999999999E-3</v>
      </c>
      <c r="V69" s="16">
        <v>3.209E-2</v>
      </c>
      <c r="W69" s="16">
        <v>1.8418E-3</v>
      </c>
      <c r="X69" s="8"/>
      <c r="Y69" s="177">
        <v>164238</v>
      </c>
      <c r="Z69" s="29">
        <v>0.262652</v>
      </c>
      <c r="AA69" s="29">
        <v>8.6540000000000002E-3</v>
      </c>
      <c r="AB69" s="29">
        <v>3.9839999999999997E-3</v>
      </c>
      <c r="AC69" s="16">
        <v>2.98E-2</v>
      </c>
      <c r="AD69" s="1">
        <v>130976</v>
      </c>
      <c r="AE69" s="4">
        <v>0.28132000000000001</v>
      </c>
      <c r="AF69" s="4">
        <v>8.1099999999999992E-3</v>
      </c>
      <c r="AG69" s="4">
        <v>4.3499999999999997E-3</v>
      </c>
      <c r="AH69" s="5">
        <v>6.2E-2</v>
      </c>
      <c r="AI69" s="8"/>
      <c r="AJ69" s="1">
        <v>56567</v>
      </c>
      <c r="AK69" s="4">
        <v>0.2858</v>
      </c>
      <c r="AL69" s="4">
        <v>5.9630000000000004E-3</v>
      </c>
      <c r="AM69" s="4">
        <v>6.5669999999999999E-3</v>
      </c>
      <c r="AN69" s="5">
        <v>0.3639</v>
      </c>
      <c r="AO69" s="5">
        <v>0.79920000000000002</v>
      </c>
      <c r="AP69" s="4"/>
      <c r="AQ69" s="8"/>
      <c r="AR69" s="177">
        <v>5872</v>
      </c>
      <c r="AS69" s="177">
        <v>0.24684</v>
      </c>
      <c r="AT69" s="29">
        <v>1.2E-2</v>
      </c>
      <c r="AU69" s="29">
        <v>1.8379199999999998E-2</v>
      </c>
      <c r="AV69" s="16">
        <v>0.51381399999999999</v>
      </c>
      <c r="AW69" s="43">
        <v>0.99922999999999995</v>
      </c>
      <c r="AX69" s="4"/>
    </row>
    <row r="70" spans="1:50" x14ac:dyDescent="0.25">
      <c r="A70" s="177" t="s">
        <v>900</v>
      </c>
      <c r="B70" s="1301">
        <v>47</v>
      </c>
      <c r="C70" s="177" t="s">
        <v>185</v>
      </c>
      <c r="D70" s="177">
        <v>19</v>
      </c>
      <c r="E70" s="177">
        <v>49232226</v>
      </c>
      <c r="F70" s="60" t="s">
        <v>186</v>
      </c>
      <c r="G70" s="2" t="s">
        <v>187</v>
      </c>
      <c r="I70" s="177" t="s">
        <v>16</v>
      </c>
      <c r="J70" s="177" t="s">
        <v>24</v>
      </c>
      <c r="K70" s="8"/>
      <c r="L70" s="177">
        <v>194971</v>
      </c>
      <c r="M70" s="29">
        <v>0.4894</v>
      </c>
      <c r="N70" s="29">
        <v>9.1999999999999998E-3</v>
      </c>
      <c r="O70" s="29">
        <v>3.2000000000000002E-3</v>
      </c>
      <c r="P70" s="16">
        <v>4.4619999999999998E-3</v>
      </c>
      <c r="Q70" s="13">
        <v>3.7383899999999998E-2</v>
      </c>
      <c r="R70" s="19">
        <v>181135</v>
      </c>
      <c r="S70" s="29">
        <v>0.50929999999999997</v>
      </c>
      <c r="T70" s="29">
        <v>7.7999999999999996E-3</v>
      </c>
      <c r="U70" s="29">
        <v>3.3E-3</v>
      </c>
      <c r="V70" s="16">
        <v>1.8790000000000001E-2</v>
      </c>
      <c r="W70" s="16">
        <v>1.7865800000000001E-2</v>
      </c>
      <c r="X70" s="8"/>
      <c r="Y70" s="177">
        <v>132725</v>
      </c>
      <c r="Z70" s="29">
        <v>0.46206900000000001</v>
      </c>
      <c r="AA70" s="29">
        <v>1.183E-2</v>
      </c>
      <c r="AB70" s="29">
        <v>3.98E-3</v>
      </c>
      <c r="AC70" s="16">
        <v>2.96E-3</v>
      </c>
      <c r="AD70" s="177">
        <v>118889</v>
      </c>
      <c r="AE70" s="29">
        <v>0.49068000000000001</v>
      </c>
      <c r="AF70" s="29">
        <v>9.8499999999999994E-3</v>
      </c>
      <c r="AG70" s="29">
        <v>4.13E-3</v>
      </c>
      <c r="AH70" s="16">
        <v>1.72E-2</v>
      </c>
      <c r="AI70" s="8"/>
      <c r="AJ70" s="177">
        <v>56374</v>
      </c>
      <c r="AK70" s="29">
        <v>0.53600000000000003</v>
      </c>
      <c r="AL70" s="29">
        <v>7.5490000000000002E-3</v>
      </c>
      <c r="AM70" s="29">
        <v>5.9670000000000001E-3</v>
      </c>
      <c r="AN70" s="16">
        <v>0.20580000000000001</v>
      </c>
      <c r="AO70" s="16">
        <v>0.17580000000000001</v>
      </c>
      <c r="AP70" s="29"/>
      <c r="AQ70" s="8"/>
      <c r="AR70" s="177">
        <v>5872</v>
      </c>
      <c r="AS70" s="177">
        <v>0.60792999999999997</v>
      </c>
      <c r="AT70" s="29">
        <v>-2.4E-2</v>
      </c>
      <c r="AU70" s="29">
        <v>1.6925099999999998E-2</v>
      </c>
      <c r="AV70" s="16">
        <v>0.15618599999999999</v>
      </c>
      <c r="AW70" s="43">
        <v>0.99923300000000004</v>
      </c>
      <c r="AX70" s="4"/>
    </row>
    <row r="71" spans="1:50" x14ac:dyDescent="0.25">
      <c r="A71" s="177" t="s">
        <v>900</v>
      </c>
      <c r="B71" s="1301"/>
      <c r="C71" s="177" t="s">
        <v>189</v>
      </c>
      <c r="D71" s="177">
        <v>19</v>
      </c>
      <c r="E71" s="177">
        <v>49244220</v>
      </c>
      <c r="F71" s="199" t="s">
        <v>190</v>
      </c>
      <c r="G71" s="2" t="s">
        <v>191</v>
      </c>
      <c r="H71" s="14"/>
      <c r="I71" s="177" t="s">
        <v>24</v>
      </c>
      <c r="J71" s="177" t="s">
        <v>16</v>
      </c>
      <c r="K71" s="8"/>
      <c r="L71" s="177">
        <v>226573</v>
      </c>
      <c r="M71" s="29">
        <v>0.55549999999999999</v>
      </c>
      <c r="N71" s="29">
        <v>7.3000000000000001E-3</v>
      </c>
      <c r="O71" s="29">
        <v>3.0000000000000001E-3</v>
      </c>
      <c r="P71" s="16">
        <v>1.4760000000000001E-2</v>
      </c>
      <c r="Q71" s="13">
        <v>3.8723899999999999E-2</v>
      </c>
      <c r="R71" s="19">
        <v>193311</v>
      </c>
      <c r="S71" s="29">
        <v>0.56299999999999994</v>
      </c>
      <c r="T71" s="29">
        <v>7.7999999999999996E-3</v>
      </c>
      <c r="U71" s="29">
        <v>3.2000000000000002E-3</v>
      </c>
      <c r="V71" s="16">
        <v>1.499E-2</v>
      </c>
      <c r="W71" s="16">
        <v>3.5363400000000003E-2</v>
      </c>
      <c r="X71" s="8"/>
      <c r="Y71" s="177">
        <v>164238</v>
      </c>
      <c r="Z71" s="29">
        <v>0.54643699999999995</v>
      </c>
      <c r="AA71" s="29">
        <v>8.234E-3</v>
      </c>
      <c r="AB71" s="29">
        <v>3.5330000000000001E-3</v>
      </c>
      <c r="AC71" s="16">
        <v>1.9800000000000002E-2</v>
      </c>
      <c r="AD71" s="177">
        <v>130976</v>
      </c>
      <c r="AE71" s="29">
        <v>0.55556000000000005</v>
      </c>
      <c r="AF71" s="29">
        <v>9.2700000000000005E-3</v>
      </c>
      <c r="AG71" s="29">
        <v>3.9300000000000003E-3</v>
      </c>
      <c r="AH71" s="16">
        <v>1.84E-2</v>
      </c>
      <c r="AI71" s="8"/>
      <c r="AJ71" s="177">
        <v>56463</v>
      </c>
      <c r="AK71" s="29">
        <v>0.57179999999999997</v>
      </c>
      <c r="AL71" s="29">
        <v>6.0959999999999999E-3</v>
      </c>
      <c r="AM71" s="29">
        <v>5.9909999999999998E-3</v>
      </c>
      <c r="AN71" s="16">
        <v>0.30890000000000001</v>
      </c>
      <c r="AO71" s="16">
        <v>0.88280000000000003</v>
      </c>
      <c r="AP71" s="29"/>
      <c r="AQ71" s="8"/>
      <c r="AR71" s="177">
        <v>5872</v>
      </c>
      <c r="AS71" s="177">
        <v>0.60945000000000005</v>
      </c>
      <c r="AT71" s="29">
        <v>-2E-3</v>
      </c>
      <c r="AU71" s="29">
        <v>1.41417E-2</v>
      </c>
      <c r="AV71" s="16">
        <v>0.88753400000000005</v>
      </c>
      <c r="AW71" s="43">
        <v>0.99987099999999995</v>
      </c>
      <c r="AX71" s="4"/>
    </row>
    <row r="72" spans="1:50" x14ac:dyDescent="0.25">
      <c r="A72" s="177" t="s">
        <v>900</v>
      </c>
      <c r="B72" s="1301">
        <v>48</v>
      </c>
      <c r="C72" s="177" t="s">
        <v>193</v>
      </c>
      <c r="D72" s="177">
        <v>20</v>
      </c>
      <c r="E72" s="177">
        <v>33971914</v>
      </c>
      <c r="F72" s="199" t="s">
        <v>265</v>
      </c>
      <c r="G72" s="2" t="s">
        <v>194</v>
      </c>
      <c r="H72" s="1233" t="s">
        <v>195</v>
      </c>
      <c r="I72" s="177" t="s">
        <v>23</v>
      </c>
      <c r="J72" s="177" t="s">
        <v>17</v>
      </c>
      <c r="K72" s="8"/>
      <c r="L72" s="177">
        <v>226655</v>
      </c>
      <c r="M72" s="29">
        <v>0.5948</v>
      </c>
      <c r="N72" s="29">
        <v>2.5000000000000001E-2</v>
      </c>
      <c r="O72" s="29">
        <v>3.0999999999999999E-3</v>
      </c>
      <c r="P72" s="16">
        <v>3.1700000000000002E-16</v>
      </c>
      <c r="Q72" s="13">
        <v>1.5372000000000001E-3</v>
      </c>
      <c r="R72" s="19">
        <v>193393</v>
      </c>
      <c r="S72" s="29">
        <v>0.61639999999999995</v>
      </c>
      <c r="T72" s="29">
        <v>2.53E-2</v>
      </c>
      <c r="U72" s="29">
        <v>3.3E-3</v>
      </c>
      <c r="V72" s="16">
        <v>2.64E-14</v>
      </c>
      <c r="W72" s="16">
        <v>9.0370000000000001E-4</v>
      </c>
      <c r="X72" s="8"/>
      <c r="Y72" s="177">
        <v>164238</v>
      </c>
      <c r="Z72" s="29">
        <v>0.57852800000000004</v>
      </c>
      <c r="AA72" s="29">
        <v>2.4197E-2</v>
      </c>
      <c r="AB72" s="29">
        <v>3.6089999999999998E-3</v>
      </c>
      <c r="AC72" s="16">
        <v>2.0199999999999999E-11</v>
      </c>
      <c r="AD72" s="177">
        <v>130976</v>
      </c>
      <c r="AE72" s="29">
        <v>0.60653000000000001</v>
      </c>
      <c r="AF72" s="29">
        <v>2.4369999999999999E-2</v>
      </c>
      <c r="AG72" s="29">
        <v>4.0499999999999998E-3</v>
      </c>
      <c r="AH72" s="16">
        <v>1.81E-9</v>
      </c>
      <c r="AI72" s="8"/>
      <c r="AJ72" s="177">
        <v>56545</v>
      </c>
      <c r="AK72" s="29">
        <v>0.6321</v>
      </c>
      <c r="AL72" s="29">
        <v>2.767E-2</v>
      </c>
      <c r="AM72" s="29">
        <v>6.117E-3</v>
      </c>
      <c r="AN72" s="16">
        <v>6.1299999999999998E-6</v>
      </c>
      <c r="AO72" s="16">
        <v>0.159</v>
      </c>
      <c r="AP72" s="29"/>
      <c r="AQ72" s="8"/>
      <c r="AR72" s="177">
        <v>5872</v>
      </c>
      <c r="AS72" s="177">
        <v>0.67418</v>
      </c>
      <c r="AT72" s="29">
        <v>2.1999999999999999E-2</v>
      </c>
      <c r="AU72" s="29">
        <v>1.7652600000000001E-2</v>
      </c>
      <c r="AV72" s="16">
        <v>0.21266299999999999</v>
      </c>
      <c r="AW72" s="43">
        <v>0.99999800000000005</v>
      </c>
      <c r="AX72" s="4"/>
    </row>
    <row r="73" spans="1:50" x14ac:dyDescent="0.25">
      <c r="A73" s="177" t="s">
        <v>900</v>
      </c>
      <c r="B73" s="1301"/>
      <c r="C73" s="177" t="s">
        <v>197</v>
      </c>
      <c r="D73" s="177">
        <v>20</v>
      </c>
      <c r="E73" s="177">
        <v>34022387</v>
      </c>
      <c r="F73" s="199" t="s">
        <v>959</v>
      </c>
      <c r="G73" s="2" t="s">
        <v>198</v>
      </c>
      <c r="H73" s="1233"/>
      <c r="I73" s="177" t="s">
        <v>16</v>
      </c>
      <c r="J73" s="177" t="s">
        <v>17</v>
      </c>
      <c r="K73" s="8"/>
      <c r="L73" s="177">
        <v>167536</v>
      </c>
      <c r="M73" s="29">
        <v>0.64059999999999995</v>
      </c>
      <c r="N73" s="29">
        <v>2.47E-2</v>
      </c>
      <c r="O73" s="29">
        <v>3.5999999999999999E-3</v>
      </c>
      <c r="P73" s="16">
        <v>5.6199999999999999E-12</v>
      </c>
      <c r="Q73" s="13">
        <v>3.1757999999999999E-3</v>
      </c>
      <c r="R73" s="19">
        <v>153595</v>
      </c>
      <c r="S73" s="29">
        <v>0.64480000000000004</v>
      </c>
      <c r="T73" s="29">
        <v>2.4E-2</v>
      </c>
      <c r="U73" s="29">
        <v>3.8E-3</v>
      </c>
      <c r="V73" s="16">
        <v>1.5999999999999999E-10</v>
      </c>
      <c r="W73" s="16">
        <v>1.19525E-2</v>
      </c>
      <c r="X73" s="8"/>
      <c r="Y73" s="177">
        <v>105018</v>
      </c>
      <c r="Z73" s="29">
        <v>0.62896600000000003</v>
      </c>
      <c r="AA73" s="29">
        <v>2.5137E-2</v>
      </c>
      <c r="AB73" s="29">
        <v>4.5440000000000003E-3</v>
      </c>
      <c r="AC73" s="16">
        <v>3.1699999999999999E-8</v>
      </c>
      <c r="AD73" s="177">
        <v>91077</v>
      </c>
      <c r="AE73" s="29">
        <v>0.63419000000000003</v>
      </c>
      <c r="AF73" s="29">
        <v>2.3970000000000002E-2</v>
      </c>
      <c r="AG73" s="29">
        <v>4.8900000000000002E-3</v>
      </c>
      <c r="AH73" s="16">
        <v>9.3600000000000002E-7</v>
      </c>
      <c r="AI73" s="8"/>
      <c r="AJ73" s="177">
        <v>56646</v>
      </c>
      <c r="AK73" s="29">
        <v>0.65647</v>
      </c>
      <c r="AL73" s="29">
        <v>2.4729299999999999E-2</v>
      </c>
      <c r="AM73" s="29">
        <v>6.2269999999999999E-3</v>
      </c>
      <c r="AN73" s="16">
        <v>7.1500000000000003E-5</v>
      </c>
      <c r="AO73" s="16"/>
      <c r="AP73" s="29">
        <v>0.99739100000000003</v>
      </c>
      <c r="AQ73" s="8"/>
      <c r="AR73" s="177">
        <v>5872</v>
      </c>
      <c r="AS73" s="177">
        <v>0.68684999999999996</v>
      </c>
      <c r="AT73" s="29">
        <v>1.9E-2</v>
      </c>
      <c r="AU73" s="29">
        <v>1.73326E-2</v>
      </c>
      <c r="AV73" s="16">
        <v>0.27299200000000001</v>
      </c>
      <c r="AW73" s="43">
        <v>0.99782599999999999</v>
      </c>
      <c r="AX73" s="4"/>
    </row>
    <row r="74" spans="1:50" s="15" customFormat="1" x14ac:dyDescent="0.25">
      <c r="A74" s="318" t="s">
        <v>900</v>
      </c>
      <c r="B74" s="905">
        <v>49</v>
      </c>
      <c r="C74" s="318" t="s">
        <v>200</v>
      </c>
      <c r="D74" s="318">
        <v>20</v>
      </c>
      <c r="E74" s="318">
        <v>42965811</v>
      </c>
      <c r="F74" s="200" t="s">
        <v>201</v>
      </c>
      <c r="G74" s="21" t="s">
        <v>202</v>
      </c>
      <c r="H74" s="21"/>
      <c r="I74" s="318" t="s">
        <v>23</v>
      </c>
      <c r="J74" s="318" t="s">
        <v>17</v>
      </c>
      <c r="K74" s="22"/>
      <c r="L74" s="318">
        <v>201752</v>
      </c>
      <c r="M74" s="30">
        <v>2E-3</v>
      </c>
      <c r="N74" s="30">
        <v>0.1709</v>
      </c>
      <c r="O74" s="30">
        <v>4.0300000000000002E-2</v>
      </c>
      <c r="P74" s="27">
        <v>2.1699999999999999E-5</v>
      </c>
      <c r="Q74" s="26">
        <v>0.99760769999999999</v>
      </c>
      <c r="R74" s="25">
        <v>171455</v>
      </c>
      <c r="S74" s="30">
        <v>2.5999999999999999E-3</v>
      </c>
      <c r="T74" s="30">
        <v>0.17119999999999999</v>
      </c>
      <c r="U74" s="30">
        <v>4.0300000000000002E-2</v>
      </c>
      <c r="V74" s="27">
        <v>2.1399999999999998E-5</v>
      </c>
      <c r="W74" s="27">
        <v>0.96775169999999999</v>
      </c>
      <c r="X74" s="22"/>
      <c r="Y74" s="318">
        <v>139234</v>
      </c>
      <c r="Z74" s="30">
        <v>2.114E-3</v>
      </c>
      <c r="AA74" s="30">
        <v>0.16531699999999999</v>
      </c>
      <c r="AB74" s="30">
        <v>4.1293000000000003E-2</v>
      </c>
      <c r="AC74" s="27">
        <v>6.2399999999999999E-5</v>
      </c>
      <c r="AD74" s="318">
        <v>108937</v>
      </c>
      <c r="AE74" s="30">
        <v>2.7000000000000001E-3</v>
      </c>
      <c r="AF74" s="30">
        <v>0.16561999999999999</v>
      </c>
      <c r="AG74" s="30">
        <v>4.1340000000000002E-2</v>
      </c>
      <c r="AH74" s="27">
        <v>6.1699999999999995E-5</v>
      </c>
      <c r="AI74" s="22"/>
      <c r="AJ74" s="318">
        <v>56646</v>
      </c>
      <c r="AK74" s="30">
        <v>5.0000000000000001E-4</v>
      </c>
      <c r="AL74" s="30">
        <v>0.20904600000000001</v>
      </c>
      <c r="AM74" s="30">
        <v>0.198624</v>
      </c>
      <c r="AN74" s="27">
        <v>0.29258400000000001</v>
      </c>
      <c r="AO74" s="27"/>
      <c r="AP74" s="30">
        <v>0.47204600000000002</v>
      </c>
      <c r="AQ74" s="22"/>
      <c r="AR74" s="318">
        <v>5872</v>
      </c>
      <c r="AS74" s="318">
        <v>2.5999999999999998E-4</v>
      </c>
      <c r="AT74" s="30">
        <v>0.61599999999999999</v>
      </c>
      <c r="AU74" s="30">
        <v>0.43674649999999998</v>
      </c>
      <c r="AV74" s="27">
        <v>0.158413</v>
      </c>
      <c r="AW74" s="44">
        <v>0.98993100000000001</v>
      </c>
      <c r="AX74" s="4"/>
    </row>
    <row r="75" spans="1:50" s="2" customFormat="1" x14ac:dyDescent="0.25">
      <c r="A75" s="34" t="s">
        <v>225</v>
      </c>
      <c r="B75" s="589"/>
      <c r="F75" s="60"/>
      <c r="K75" s="3"/>
      <c r="M75" s="17"/>
      <c r="N75" s="17"/>
      <c r="O75" s="17"/>
      <c r="R75" s="17"/>
      <c r="S75" s="17"/>
      <c r="T75" s="17"/>
      <c r="V75" s="3"/>
      <c r="W75" s="3"/>
      <c r="X75" s="17"/>
      <c r="Y75" s="17"/>
      <c r="Z75" s="17"/>
      <c r="AA75" s="3"/>
      <c r="AB75" s="3"/>
      <c r="AC75" s="17"/>
      <c r="AD75" s="17"/>
      <c r="AE75" s="17"/>
      <c r="AF75" s="3"/>
      <c r="AG75" s="3"/>
      <c r="AH75" s="3"/>
      <c r="AI75" s="17"/>
      <c r="AJ75" s="17"/>
      <c r="AK75" s="17"/>
      <c r="AL75" s="3"/>
      <c r="AO75" s="3"/>
      <c r="AQ75" s="17"/>
      <c r="AR75" s="17"/>
      <c r="AS75" s="17"/>
    </row>
    <row r="76" spans="1:50" s="2" customFormat="1" x14ac:dyDescent="0.25">
      <c r="A76" s="34" t="s">
        <v>960</v>
      </c>
      <c r="B76" s="589"/>
      <c r="F76" s="60"/>
      <c r="K76" s="3"/>
      <c r="M76" s="17"/>
      <c r="N76" s="17"/>
      <c r="O76" s="17"/>
      <c r="R76" s="17"/>
      <c r="S76" s="17"/>
      <c r="T76" s="17"/>
      <c r="V76" s="3"/>
      <c r="W76" s="3"/>
      <c r="X76" s="17"/>
      <c r="Y76" s="17"/>
      <c r="Z76" s="17"/>
      <c r="AA76" s="3"/>
      <c r="AB76" s="3"/>
      <c r="AC76" s="17"/>
      <c r="AD76" s="17"/>
      <c r="AE76" s="17"/>
      <c r="AF76" s="3"/>
      <c r="AG76" s="3"/>
      <c r="AH76" s="3"/>
      <c r="AI76" s="17"/>
      <c r="AJ76" s="17"/>
      <c r="AK76" s="17"/>
      <c r="AL76" s="3"/>
      <c r="AO76" s="3"/>
      <c r="AQ76" s="17"/>
      <c r="AR76" s="17"/>
      <c r="AS76" s="17"/>
    </row>
    <row r="77" spans="1:50" s="2" customFormat="1" x14ac:dyDescent="0.25">
      <c r="A77" s="169" t="s">
        <v>227</v>
      </c>
      <c r="B77" s="169"/>
      <c r="F77" s="60"/>
      <c r="K77" s="3"/>
      <c r="M77" s="17"/>
      <c r="N77" s="17"/>
      <c r="O77" s="17"/>
      <c r="R77" s="17"/>
      <c r="S77" s="17"/>
      <c r="T77" s="17"/>
      <c r="V77" s="3"/>
      <c r="W77" s="3"/>
      <c r="X77" s="17"/>
      <c r="Y77" s="17"/>
      <c r="Z77" s="17"/>
      <c r="AA77" s="3"/>
      <c r="AB77" s="3"/>
      <c r="AC77" s="17"/>
      <c r="AD77" s="17"/>
      <c r="AE77" s="17"/>
      <c r="AF77" s="3"/>
      <c r="AG77" s="3"/>
      <c r="AH77" s="3"/>
      <c r="AI77" s="17"/>
      <c r="AJ77" s="17"/>
      <c r="AK77" s="17"/>
      <c r="AL77" s="3"/>
      <c r="AO77" s="3"/>
      <c r="AQ77" s="17"/>
      <c r="AR77" s="17"/>
      <c r="AS77" s="17"/>
    </row>
    <row r="78" spans="1:50" s="2" customFormat="1" x14ac:dyDescent="0.25">
      <c r="A78" s="170" t="s">
        <v>228</v>
      </c>
      <c r="B78" s="170"/>
      <c r="F78" s="60"/>
      <c r="K78" s="3"/>
      <c r="M78" s="17"/>
      <c r="N78" s="17"/>
      <c r="O78" s="17"/>
      <c r="R78" s="17"/>
      <c r="S78" s="17"/>
      <c r="T78" s="17"/>
      <c r="V78" s="3"/>
      <c r="W78" s="3"/>
      <c r="X78" s="17"/>
      <c r="Y78" s="17"/>
      <c r="Z78" s="17"/>
      <c r="AA78" s="3"/>
      <c r="AB78" s="3"/>
      <c r="AC78" s="17"/>
      <c r="AD78" s="17"/>
      <c r="AE78" s="17"/>
      <c r="AF78" s="3"/>
      <c r="AG78" s="3"/>
      <c r="AH78" s="3"/>
      <c r="AI78" s="17"/>
      <c r="AJ78" s="17"/>
      <c r="AK78" s="17"/>
      <c r="AL78" s="3"/>
      <c r="AO78" s="3"/>
      <c r="AQ78" s="17"/>
      <c r="AR78" s="17"/>
      <c r="AS78" s="17"/>
    </row>
    <row r="79" spans="1:50" s="2" customFormat="1" x14ac:dyDescent="0.25">
      <c r="A79" s="1236" t="s">
        <v>5270</v>
      </c>
      <c r="B79" s="1236"/>
      <c r="C79" s="1236"/>
      <c r="D79" s="1236"/>
      <c r="E79" s="1236"/>
      <c r="F79" s="1236"/>
      <c r="G79" s="1236"/>
      <c r="H79" s="1236"/>
      <c r="I79" s="1236"/>
      <c r="J79" s="1236"/>
      <c r="K79" s="1236"/>
      <c r="L79" s="1236"/>
      <c r="M79" s="1236"/>
      <c r="N79" s="1236"/>
      <c r="O79" s="17"/>
      <c r="R79" s="17"/>
      <c r="S79" s="17"/>
      <c r="T79" s="17"/>
      <c r="V79" s="3"/>
      <c r="W79" s="3"/>
      <c r="X79" s="17"/>
      <c r="Y79" s="17"/>
      <c r="Z79" s="17"/>
      <c r="AA79" s="3"/>
      <c r="AB79" s="3"/>
      <c r="AC79" s="17"/>
      <c r="AD79" s="17"/>
      <c r="AE79" s="17"/>
      <c r="AF79" s="3"/>
      <c r="AG79" s="3"/>
      <c r="AH79" s="3"/>
      <c r="AI79" s="17"/>
      <c r="AJ79" s="17"/>
      <c r="AK79" s="17"/>
      <c r="AL79" s="3"/>
      <c r="AO79" s="3"/>
      <c r="AQ79" s="17"/>
      <c r="AR79" s="17"/>
      <c r="AS79" s="17"/>
    </row>
    <row r="80" spans="1:50" s="2" customFormat="1" x14ac:dyDescent="0.25">
      <c r="A80" s="737" t="s">
        <v>229</v>
      </c>
      <c r="B80" s="878"/>
      <c r="C80" s="878"/>
      <c r="D80" s="878"/>
      <c r="E80" s="878"/>
      <c r="F80" s="872"/>
      <c r="G80" s="878"/>
      <c r="H80" s="890"/>
      <c r="I80" s="878"/>
      <c r="J80" s="878"/>
      <c r="K80" s="878"/>
      <c r="L80" s="878"/>
      <c r="M80" s="878"/>
      <c r="N80" s="871"/>
      <c r="O80" s="17"/>
      <c r="R80" s="17"/>
      <c r="S80" s="17"/>
      <c r="T80" s="17"/>
      <c r="V80" s="3"/>
      <c r="W80" s="3"/>
      <c r="X80" s="17"/>
      <c r="Y80" s="17"/>
      <c r="Z80" s="17"/>
      <c r="AA80" s="3"/>
      <c r="AB80" s="3"/>
      <c r="AC80" s="17"/>
      <c r="AD80" s="17"/>
      <c r="AE80" s="17"/>
      <c r="AF80" s="3"/>
      <c r="AG80" s="3"/>
      <c r="AH80" s="3"/>
      <c r="AI80" s="17"/>
      <c r="AJ80" s="17"/>
      <c r="AK80" s="17"/>
      <c r="AL80" s="3"/>
      <c r="AO80" s="3"/>
      <c r="AQ80" s="17"/>
      <c r="AR80" s="17"/>
      <c r="AS80" s="17"/>
    </row>
    <row r="81" spans="1:45" s="2" customFormat="1" x14ac:dyDescent="0.25">
      <c r="A81" s="737" t="s">
        <v>230</v>
      </c>
      <c r="B81" s="871"/>
      <c r="C81" s="871"/>
      <c r="D81" s="871"/>
      <c r="E81" s="871"/>
      <c r="F81" s="872"/>
      <c r="G81" s="871"/>
      <c r="H81" s="888"/>
      <c r="I81" s="871"/>
      <c r="J81" s="871"/>
      <c r="K81" s="871"/>
      <c r="L81" s="871"/>
      <c r="M81" s="871"/>
      <c r="N81" s="871"/>
      <c r="O81" s="17"/>
      <c r="R81" s="17"/>
      <c r="S81" s="17"/>
      <c r="T81" s="17"/>
      <c r="V81" s="3"/>
      <c r="W81" s="3"/>
      <c r="X81" s="17"/>
      <c r="Y81" s="17"/>
      <c r="Z81" s="17"/>
      <c r="AA81" s="3"/>
      <c r="AB81" s="3"/>
      <c r="AC81" s="17"/>
      <c r="AD81" s="17"/>
      <c r="AE81" s="17"/>
      <c r="AF81" s="3"/>
      <c r="AG81" s="3"/>
      <c r="AH81" s="3"/>
      <c r="AI81" s="17"/>
      <c r="AJ81" s="17"/>
      <c r="AK81" s="17"/>
      <c r="AL81" s="3"/>
      <c r="AO81" s="3"/>
      <c r="AQ81" s="17"/>
      <c r="AR81" s="17"/>
      <c r="AS81" s="17"/>
    </row>
    <row r="82" spans="1:45" s="2" customFormat="1" ht="14.85" customHeight="1" x14ac:dyDescent="0.25">
      <c r="A82" s="1226" t="s">
        <v>231</v>
      </c>
      <c r="B82" s="1226"/>
      <c r="C82" s="1226"/>
      <c r="D82" s="1226"/>
      <c r="E82" s="1226"/>
      <c r="F82" s="1226"/>
      <c r="G82" s="1226"/>
      <c r="H82" s="1226"/>
      <c r="I82" s="1226"/>
      <c r="J82" s="1226"/>
      <c r="K82" s="1226"/>
      <c r="L82" s="1226"/>
      <c r="M82" s="1226"/>
      <c r="N82" s="1226"/>
      <c r="O82" s="1226"/>
      <c r="P82" s="1226"/>
      <c r="Q82" s="1226"/>
      <c r="R82" s="1226"/>
      <c r="S82" s="1226"/>
      <c r="T82" s="1226"/>
      <c r="U82" s="1226"/>
      <c r="V82" s="1226"/>
      <c r="W82" s="1226"/>
      <c r="X82" s="1226"/>
      <c r="Y82" s="1226"/>
      <c r="Z82" s="1226"/>
      <c r="AA82" s="1226"/>
      <c r="AB82" s="1226"/>
      <c r="AC82" s="17"/>
      <c r="AD82" s="17"/>
      <c r="AE82" s="17"/>
      <c r="AF82" s="3"/>
      <c r="AG82" s="3"/>
      <c r="AH82" s="3"/>
      <c r="AI82" s="17"/>
      <c r="AJ82" s="17"/>
      <c r="AK82" s="17"/>
      <c r="AL82" s="3"/>
      <c r="AO82" s="3"/>
      <c r="AQ82" s="17"/>
      <c r="AR82" s="17"/>
      <c r="AS82" s="17"/>
    </row>
    <row r="83" spans="1:45" s="2" customFormat="1" x14ac:dyDescent="0.25">
      <c r="A83" s="34" t="s">
        <v>232</v>
      </c>
      <c r="B83" s="589"/>
      <c r="F83" s="60"/>
      <c r="K83" s="3"/>
      <c r="M83" s="17"/>
      <c r="N83" s="17"/>
      <c r="O83" s="17"/>
      <c r="R83" s="17"/>
      <c r="S83" s="17"/>
      <c r="T83" s="17"/>
      <c r="V83" s="3"/>
      <c r="W83" s="3"/>
      <c r="X83" s="17"/>
      <c r="Y83" s="17"/>
      <c r="Z83" s="17"/>
      <c r="AA83" s="3"/>
      <c r="AB83" s="3"/>
      <c r="AC83" s="17"/>
      <c r="AD83" s="17"/>
      <c r="AE83" s="17"/>
      <c r="AF83" s="3"/>
      <c r="AG83" s="3"/>
      <c r="AH83" s="3"/>
      <c r="AI83" s="17"/>
      <c r="AJ83" s="17"/>
      <c r="AK83" s="17"/>
      <c r="AL83" s="3"/>
      <c r="AO83" s="3"/>
      <c r="AQ83" s="17"/>
      <c r="AR83" s="17"/>
      <c r="AS83" s="17"/>
    </row>
    <row r="84" spans="1:45" x14ac:dyDescent="0.25">
      <c r="A84" s="34" t="s">
        <v>962</v>
      </c>
    </row>
    <row r="85" spans="1:45" x14ac:dyDescent="0.25">
      <c r="B85" s="906"/>
    </row>
    <row r="86" spans="1:45" x14ac:dyDescent="0.25">
      <c r="B86" s="907"/>
    </row>
    <row r="87" spans="1:45" x14ac:dyDescent="0.25">
      <c r="B87" s="908"/>
    </row>
    <row r="88" spans="1:45" x14ac:dyDescent="0.25">
      <c r="B88" s="908"/>
    </row>
    <row r="89" spans="1:45" x14ac:dyDescent="0.25">
      <c r="B89" s="908"/>
    </row>
  </sheetData>
  <sortState ref="A6:AZ75">
    <sortCondition ref="D6:D75"/>
    <sortCondition ref="E6:E75"/>
  </sortState>
  <mergeCells count="42">
    <mergeCell ref="A79:N79"/>
    <mergeCell ref="A82:AB82"/>
    <mergeCell ref="B63:B64"/>
    <mergeCell ref="B68:B69"/>
    <mergeCell ref="B70:B71"/>
    <mergeCell ref="B72:B73"/>
    <mergeCell ref="F63:F64"/>
    <mergeCell ref="F6:F7"/>
    <mergeCell ref="F21:F22"/>
    <mergeCell ref="F32:F33"/>
    <mergeCell ref="F36:F37"/>
    <mergeCell ref="F48:F49"/>
    <mergeCell ref="B46:B50"/>
    <mergeCell ref="B31:B33"/>
    <mergeCell ref="B36:B37"/>
    <mergeCell ref="B55:B57"/>
    <mergeCell ref="B59:B61"/>
    <mergeCell ref="B6:B7"/>
    <mergeCell ref="B15:B16"/>
    <mergeCell ref="B18:B19"/>
    <mergeCell ref="B20:B22"/>
    <mergeCell ref="B23:B24"/>
    <mergeCell ref="L2:W2"/>
    <mergeCell ref="Y2:AH2"/>
    <mergeCell ref="AJ2:AP2"/>
    <mergeCell ref="AR2:AW2"/>
    <mergeCell ref="AD3:AH3"/>
    <mergeCell ref="L3:Q3"/>
    <mergeCell ref="R3:W3"/>
    <mergeCell ref="AJ3:AP3"/>
    <mergeCell ref="AR3:AW3"/>
    <mergeCell ref="Y3:AC3"/>
    <mergeCell ref="H6:H7"/>
    <mergeCell ref="H18:H19"/>
    <mergeCell ref="H20:H22"/>
    <mergeCell ref="H23:H24"/>
    <mergeCell ref="H31:H33"/>
    <mergeCell ref="H36:H37"/>
    <mergeCell ref="H46:H50"/>
    <mergeCell ref="H63:H64"/>
    <mergeCell ref="H68:H69"/>
    <mergeCell ref="H72:H73"/>
  </mergeCells>
  <phoneticPr fontId="101" type="noConversion"/>
  <conditionalFormatting sqref="Q4">
    <cfRule type="cellIs" dxfId="94" priority="5" operator="lessThan">
      <formula>0.0007</formula>
    </cfRule>
  </conditionalFormatting>
  <conditionalFormatting sqref="W4">
    <cfRule type="cellIs" dxfId="93" priority="1" operator="lessThan">
      <formula>0.0007</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86"/>
  <sheetViews>
    <sheetView workbookViewId="0">
      <selection activeCell="AB13" sqref="AB13"/>
    </sheetView>
  </sheetViews>
  <sheetFormatPr defaultColWidth="8.7109375" defaultRowHeight="15" x14ac:dyDescent="0.25"/>
  <cols>
    <col min="1" max="1" width="8.7109375" style="49"/>
    <col min="2" max="2" width="12" style="953" customWidth="1"/>
    <col min="3" max="3" width="13.28515625" style="49" customWidth="1"/>
    <col min="4" max="4" width="8.7109375" style="49"/>
    <col min="5" max="5" width="11.7109375" style="49" customWidth="1"/>
    <col min="6" max="6" width="10.7109375" style="954" customWidth="1"/>
    <col min="7" max="7" width="22.28515625" style="758" customWidth="1"/>
    <col min="8" max="8" width="21.7109375" style="758" customWidth="1"/>
    <col min="9" max="9" width="13.85546875" style="49" customWidth="1"/>
    <col min="10" max="10" width="12.28515625" style="49" customWidth="1"/>
    <col min="11" max="11" width="1.28515625" style="999" customWidth="1"/>
    <col min="12" max="12" width="8.7109375" style="49"/>
    <col min="13" max="14" width="10.7109375" style="49" customWidth="1"/>
    <col min="15" max="16" width="8.7109375" style="49"/>
    <col min="17" max="17" width="15.28515625" style="49" customWidth="1"/>
    <col min="18" max="18" width="8.7109375" style="49"/>
    <col min="19" max="19" width="10.140625" style="49" customWidth="1"/>
    <col min="20" max="20" width="10.28515625" style="49" customWidth="1"/>
    <col min="21" max="22" width="8.7109375" style="49"/>
    <col min="23" max="23" width="14.28515625" style="49" customWidth="1"/>
    <col min="24" max="24" width="1.28515625" style="1000" customWidth="1"/>
    <col min="25" max="25" width="8.7109375" style="49"/>
    <col min="26" max="26" width="10.7109375" style="49" customWidth="1"/>
    <col min="27" max="27" width="10.28515625" style="49" customWidth="1"/>
    <col min="28" max="31" width="8.7109375" style="49"/>
    <col min="32" max="32" width="11" style="49" customWidth="1"/>
    <col min="33" max="33" width="8.7109375" style="49"/>
    <col min="34" max="34" width="8.7109375" style="1001"/>
    <col min="35" max="35" width="1.28515625" style="1000" customWidth="1"/>
    <col min="36" max="36" width="8.7109375" style="49"/>
    <col min="37" max="37" width="10.85546875" style="49" customWidth="1"/>
    <col min="38" max="38" width="10.140625" style="49" customWidth="1"/>
    <col min="39" max="39" width="8.7109375" style="49"/>
    <col min="40" max="40" width="8.7109375" style="1002"/>
    <col min="41" max="41" width="8.7109375" style="49"/>
    <col min="42" max="42" width="10.28515625" style="49" customWidth="1"/>
    <col min="43" max="43" width="1.28515625" style="999" customWidth="1"/>
    <col min="44" max="44" width="8.7109375" style="49"/>
    <col min="45" max="45" width="10.7109375" style="49" customWidth="1"/>
    <col min="46" max="46" width="11.140625" style="49" customWidth="1"/>
    <col min="47" max="47" width="8.7109375" style="49"/>
    <col min="48" max="48" width="8.7109375" style="1002"/>
    <col min="49" max="49" width="10.28515625" style="1009" customWidth="1"/>
    <col min="50" max="16384" width="8.7109375" style="49"/>
  </cols>
  <sheetData>
    <row r="1" spans="1:49" x14ac:dyDescent="0.25">
      <c r="A1" s="371" t="s">
        <v>5911</v>
      </c>
      <c r="B1" s="371"/>
      <c r="F1" s="909"/>
      <c r="G1" s="49"/>
      <c r="AJ1" s="49">
        <f>MAX(AJ5:AJ200)</f>
        <v>62926</v>
      </c>
      <c r="AK1" s="49">
        <f>119572-62926</f>
        <v>56646</v>
      </c>
      <c r="AR1" s="1002"/>
      <c r="AS1" s="1002"/>
      <c r="AT1" s="1002"/>
      <c r="AU1" s="1002"/>
      <c r="AW1" s="1003"/>
    </row>
    <row r="2" spans="1:49" s="962" customFormat="1" x14ac:dyDescent="0.25">
      <c r="B2" s="956"/>
      <c r="F2" s="910"/>
      <c r="G2" s="956"/>
      <c r="H2" s="956"/>
      <c r="K2" s="1004"/>
      <c r="L2" s="1308" t="s">
        <v>885</v>
      </c>
      <c r="M2" s="1308"/>
      <c r="N2" s="1308"/>
      <c r="O2" s="1308"/>
      <c r="P2" s="1308"/>
      <c r="Q2" s="1308"/>
      <c r="R2" s="1308"/>
      <c r="S2" s="1308"/>
      <c r="T2" s="1308"/>
      <c r="U2" s="1308"/>
      <c r="V2" s="1308"/>
      <c r="W2" s="1308"/>
      <c r="X2" s="1004"/>
      <c r="Y2" s="1308" t="s">
        <v>886</v>
      </c>
      <c r="Z2" s="1308"/>
      <c r="AA2" s="1308"/>
      <c r="AB2" s="1308"/>
      <c r="AC2" s="1308"/>
      <c r="AD2" s="1308"/>
      <c r="AE2" s="1308"/>
      <c r="AF2" s="1308"/>
      <c r="AG2" s="1308"/>
      <c r="AH2" s="1308"/>
      <c r="AI2" s="1004"/>
      <c r="AJ2" s="1308" t="s">
        <v>887</v>
      </c>
      <c r="AK2" s="1308"/>
      <c r="AL2" s="1308"/>
      <c r="AM2" s="1308"/>
      <c r="AN2" s="1308"/>
      <c r="AO2" s="1308"/>
      <c r="AP2" s="1308"/>
      <c r="AQ2" s="1004"/>
      <c r="AR2" s="1308" t="s">
        <v>888</v>
      </c>
      <c r="AS2" s="1308"/>
      <c r="AT2" s="1308"/>
      <c r="AU2" s="1308"/>
      <c r="AV2" s="1308"/>
      <c r="AW2" s="1309"/>
    </row>
    <row r="3" spans="1:49" s="962" customFormat="1" ht="29.1" customHeight="1" x14ac:dyDescent="0.25">
      <c r="B3" s="956"/>
      <c r="F3" s="911"/>
      <c r="G3" s="956"/>
      <c r="H3" s="956"/>
      <c r="K3" s="1004"/>
      <c r="L3" s="1310" t="s">
        <v>889</v>
      </c>
      <c r="M3" s="1310"/>
      <c r="N3" s="1310"/>
      <c r="O3" s="1310"/>
      <c r="P3" s="1310"/>
      <c r="Q3" s="1311"/>
      <c r="R3" s="1310" t="s">
        <v>961</v>
      </c>
      <c r="S3" s="1310"/>
      <c r="T3" s="1310"/>
      <c r="U3" s="1310"/>
      <c r="V3" s="1310"/>
      <c r="W3" s="1310"/>
      <c r="X3" s="1004"/>
      <c r="Y3" s="1315" t="s">
        <v>889</v>
      </c>
      <c r="Z3" s="1315"/>
      <c r="AA3" s="1315"/>
      <c r="AB3" s="1315"/>
      <c r="AC3" s="1315"/>
      <c r="AD3" s="1310" t="s">
        <v>961</v>
      </c>
      <c r="AE3" s="1310"/>
      <c r="AF3" s="1310"/>
      <c r="AG3" s="1310"/>
      <c r="AH3" s="1310"/>
      <c r="AI3" s="1004"/>
      <c r="AJ3" s="1312" t="s">
        <v>289</v>
      </c>
      <c r="AK3" s="1313"/>
      <c r="AL3" s="1313"/>
      <c r="AM3" s="1313"/>
      <c r="AN3" s="1313"/>
      <c r="AO3" s="1313"/>
      <c r="AP3" s="1314"/>
      <c r="AQ3" s="1004"/>
      <c r="AR3" s="1312" t="s">
        <v>289</v>
      </c>
      <c r="AS3" s="1313"/>
      <c r="AT3" s="1313"/>
      <c r="AU3" s="1313"/>
      <c r="AV3" s="1313"/>
      <c r="AW3" s="1314"/>
    </row>
    <row r="4" spans="1:49" s="962" customFormat="1" ht="63" thickBot="1" x14ac:dyDescent="0.3">
      <c r="A4" s="795" t="s">
        <v>890</v>
      </c>
      <c r="B4" s="947" t="s">
        <v>5269</v>
      </c>
      <c r="C4" s="965" t="s">
        <v>3</v>
      </c>
      <c r="D4" s="965" t="s">
        <v>891</v>
      </c>
      <c r="E4" s="964" t="s">
        <v>892</v>
      </c>
      <c r="F4" s="964" t="s">
        <v>893</v>
      </c>
      <c r="G4" s="964" t="s">
        <v>894</v>
      </c>
      <c r="H4" s="965" t="s">
        <v>895</v>
      </c>
      <c r="I4" s="912" t="s">
        <v>896</v>
      </c>
      <c r="J4" s="912" t="s">
        <v>5</v>
      </c>
      <c r="K4" s="913"/>
      <c r="L4" s="948" t="s">
        <v>7</v>
      </c>
      <c r="M4" s="958" t="s">
        <v>8</v>
      </c>
      <c r="N4" s="958" t="s">
        <v>9</v>
      </c>
      <c r="O4" s="959" t="s">
        <v>10</v>
      </c>
      <c r="P4" s="960" t="s">
        <v>11</v>
      </c>
      <c r="Q4" s="917" t="s">
        <v>12</v>
      </c>
      <c r="R4" s="795" t="s">
        <v>7</v>
      </c>
      <c r="S4" s="958" t="s">
        <v>8</v>
      </c>
      <c r="T4" s="958" t="s">
        <v>9</v>
      </c>
      <c r="U4" s="959" t="s">
        <v>10</v>
      </c>
      <c r="V4" s="960" t="s">
        <v>11</v>
      </c>
      <c r="W4" s="917" t="s">
        <v>12</v>
      </c>
      <c r="X4" s="913"/>
      <c r="Y4" s="948" t="s">
        <v>7</v>
      </c>
      <c r="Z4" s="958" t="s">
        <v>8</v>
      </c>
      <c r="AA4" s="958" t="s">
        <v>9</v>
      </c>
      <c r="AB4" s="959" t="s">
        <v>10</v>
      </c>
      <c r="AC4" s="960" t="s">
        <v>11</v>
      </c>
      <c r="AD4" s="795" t="s">
        <v>7</v>
      </c>
      <c r="AE4" s="958" t="s">
        <v>8</v>
      </c>
      <c r="AF4" s="958" t="s">
        <v>9</v>
      </c>
      <c r="AG4" s="959" t="s">
        <v>10</v>
      </c>
      <c r="AH4" s="960" t="s">
        <v>11</v>
      </c>
      <c r="AI4" s="913"/>
      <c r="AJ4" s="795" t="s">
        <v>7</v>
      </c>
      <c r="AK4" s="958" t="s">
        <v>8</v>
      </c>
      <c r="AL4" s="958" t="s">
        <v>9</v>
      </c>
      <c r="AM4" s="959" t="s">
        <v>10</v>
      </c>
      <c r="AN4" s="960" t="s">
        <v>11</v>
      </c>
      <c r="AO4" s="947" t="s">
        <v>898</v>
      </c>
      <c r="AP4" s="916" t="s">
        <v>899</v>
      </c>
      <c r="AQ4" s="913"/>
      <c r="AR4" s="795" t="s">
        <v>7</v>
      </c>
      <c r="AS4" s="958" t="s">
        <v>8</v>
      </c>
      <c r="AT4" s="958" t="s">
        <v>9</v>
      </c>
      <c r="AU4" s="959" t="s">
        <v>10</v>
      </c>
      <c r="AV4" s="960" t="s">
        <v>11</v>
      </c>
      <c r="AW4" s="916" t="s">
        <v>899</v>
      </c>
    </row>
    <row r="5" spans="1:49" ht="15.75" thickTop="1" x14ac:dyDescent="0.25">
      <c r="A5" s="49" t="s">
        <v>900</v>
      </c>
      <c r="B5" s="953">
        <v>1</v>
      </c>
      <c r="C5" s="49" t="s">
        <v>901</v>
      </c>
      <c r="D5" s="49">
        <v>1</v>
      </c>
      <c r="E5" s="49">
        <v>36225948</v>
      </c>
      <c r="F5" s="954" t="s">
        <v>902</v>
      </c>
      <c r="G5" s="758" t="s">
        <v>903</v>
      </c>
      <c r="I5" s="49" t="s">
        <v>17</v>
      </c>
      <c r="J5" s="49" t="s">
        <v>23</v>
      </c>
      <c r="K5" s="1005"/>
      <c r="L5" s="1002">
        <v>168395</v>
      </c>
      <c r="M5" s="1006">
        <v>0.14960000000000001</v>
      </c>
      <c r="N5" s="1006">
        <v>1.6500000000000001E-2</v>
      </c>
      <c r="O5" s="1006">
        <v>5.1999999999999998E-3</v>
      </c>
      <c r="P5" s="1007">
        <v>1.32E-3</v>
      </c>
      <c r="Q5" s="1008">
        <v>0.87311209999999995</v>
      </c>
      <c r="R5" s="49">
        <v>154991</v>
      </c>
      <c r="S5" s="1009">
        <v>0.1236</v>
      </c>
      <c r="T5" s="1009">
        <v>1.7899999999999999E-2</v>
      </c>
      <c r="U5" s="1009">
        <v>5.5999999999999999E-3</v>
      </c>
      <c r="V5" s="1001">
        <v>1.268E-3</v>
      </c>
      <c r="W5" s="1001">
        <v>0.83430820000000006</v>
      </c>
      <c r="X5" s="1005"/>
      <c r="Y5" s="1002">
        <v>98458</v>
      </c>
      <c r="Z5" s="1006">
        <v>0.168459</v>
      </c>
      <c r="AA5" s="1006">
        <v>2.6343999999999999E-2</v>
      </c>
      <c r="AB5" s="1006">
        <v>6.5729999999999998E-3</v>
      </c>
      <c r="AC5" s="1007">
        <v>6.1199999999999997E-5</v>
      </c>
      <c r="AD5" s="49">
        <v>85054</v>
      </c>
      <c r="AE5" s="1009">
        <v>0.12678</v>
      </c>
      <c r="AF5" s="1009">
        <v>3.1759999999999997E-2</v>
      </c>
      <c r="AG5" s="1009">
        <v>7.4900000000000001E-3</v>
      </c>
      <c r="AH5" s="1001">
        <v>2.2500000000000001E-5</v>
      </c>
      <c r="AI5" s="1005"/>
      <c r="AJ5" s="49">
        <v>62851</v>
      </c>
      <c r="AK5" s="1009">
        <v>0.1207</v>
      </c>
      <c r="AL5" s="1009">
        <v>1.379E-3</v>
      </c>
      <c r="AM5" s="1009">
        <v>8.659E-3</v>
      </c>
      <c r="AN5" s="1001">
        <v>0.87350000000000005</v>
      </c>
      <c r="AO5" s="1001">
        <v>0.93500000000000005</v>
      </c>
      <c r="AP5" s="1009"/>
      <c r="AQ5" s="1005"/>
      <c r="AR5" s="1002">
        <v>7086</v>
      </c>
      <c r="AS5" s="1006">
        <v>0.10731</v>
      </c>
      <c r="AT5" s="1006">
        <v>-4.0000000000000001E-3</v>
      </c>
      <c r="AU5" s="1006">
        <v>2.8957500000000001E-2</v>
      </c>
      <c r="AV5" s="1007">
        <v>0.89013500000000001</v>
      </c>
      <c r="AW5" s="1003">
        <v>1</v>
      </c>
    </row>
    <row r="6" spans="1:49" x14ac:dyDescent="0.25">
      <c r="A6" s="49" t="s">
        <v>900</v>
      </c>
      <c r="B6" s="1301">
        <v>2</v>
      </c>
      <c r="C6" s="49" t="s">
        <v>15</v>
      </c>
      <c r="D6" s="49">
        <v>1</v>
      </c>
      <c r="E6" s="49">
        <v>119427467</v>
      </c>
      <c r="F6" s="1303" t="s">
        <v>18</v>
      </c>
      <c r="G6" s="758" t="s">
        <v>19</v>
      </c>
      <c r="H6" s="1233" t="s">
        <v>20</v>
      </c>
      <c r="I6" s="49" t="s">
        <v>16</v>
      </c>
      <c r="J6" s="49" t="s">
        <v>17</v>
      </c>
      <c r="K6" s="1005"/>
      <c r="L6" s="1002">
        <v>240936</v>
      </c>
      <c r="M6" s="1006">
        <v>0.95679999999999998</v>
      </c>
      <c r="N6" s="1006">
        <v>4.2700000000000002E-2</v>
      </c>
      <c r="O6" s="1006">
        <v>7.1999999999999998E-3</v>
      </c>
      <c r="P6" s="1007">
        <v>2.6200000000000001E-9</v>
      </c>
      <c r="Q6" s="1008">
        <v>0.66914249999999997</v>
      </c>
      <c r="R6" s="49">
        <v>222985</v>
      </c>
      <c r="S6" s="1009">
        <v>0.95469999999999999</v>
      </c>
      <c r="T6" s="1009">
        <v>4.24E-2</v>
      </c>
      <c r="U6" s="1009">
        <v>7.3000000000000001E-3</v>
      </c>
      <c r="V6" s="1001">
        <v>5.7200000000000001E-9</v>
      </c>
      <c r="W6" s="1001">
        <v>0.49392930000000002</v>
      </c>
      <c r="X6" s="1005"/>
      <c r="Y6" s="1002">
        <v>173413</v>
      </c>
      <c r="Z6" s="1006">
        <v>0.95770200000000005</v>
      </c>
      <c r="AA6" s="1006">
        <v>3.9810999999999999E-2</v>
      </c>
      <c r="AB6" s="1006">
        <v>8.5640000000000004E-3</v>
      </c>
      <c r="AC6" s="1007">
        <v>3.3400000000000002E-6</v>
      </c>
      <c r="AD6" s="49">
        <v>155462</v>
      </c>
      <c r="AE6" s="1009">
        <v>0.95470999999999995</v>
      </c>
      <c r="AF6" s="1009">
        <v>3.9260000000000003E-2</v>
      </c>
      <c r="AG6" s="1009">
        <v>8.7500000000000008E-3</v>
      </c>
      <c r="AH6" s="1001">
        <v>7.2400000000000001E-6</v>
      </c>
      <c r="AI6" s="1005"/>
      <c r="AJ6" s="49">
        <v>60437</v>
      </c>
      <c r="AK6" s="1009">
        <v>0.95450999999999997</v>
      </c>
      <c r="AL6" s="1009">
        <v>5.1860000000000003E-2</v>
      </c>
      <c r="AM6" s="1009">
        <v>1.37E-2</v>
      </c>
      <c r="AN6" s="1001">
        <v>1.5420000000000001E-4</v>
      </c>
      <c r="AO6" s="1001">
        <v>0.58760000000000001</v>
      </c>
      <c r="AP6" s="1009"/>
      <c r="AQ6" s="1005"/>
      <c r="AR6" s="1002">
        <v>7086</v>
      </c>
      <c r="AS6" s="1006">
        <v>0.95464000000000004</v>
      </c>
      <c r="AT6" s="1006">
        <v>2.3E-2</v>
      </c>
      <c r="AU6" s="1006">
        <v>4.6080500000000003E-2</v>
      </c>
      <c r="AV6" s="1007">
        <v>0.61768999999999996</v>
      </c>
      <c r="AW6" s="1003">
        <v>0.99781799999999998</v>
      </c>
    </row>
    <row r="7" spans="1:49" x14ac:dyDescent="0.25">
      <c r="A7" s="49" t="s">
        <v>900</v>
      </c>
      <c r="B7" s="1301"/>
      <c r="C7" s="49" t="s">
        <v>22</v>
      </c>
      <c r="D7" s="49">
        <v>1</v>
      </c>
      <c r="E7" s="49">
        <v>119469188</v>
      </c>
      <c r="F7" s="1303"/>
      <c r="G7" s="758" t="s">
        <v>25</v>
      </c>
      <c r="H7" s="1233"/>
      <c r="I7" s="49" t="s">
        <v>23</v>
      </c>
      <c r="J7" s="49" t="s">
        <v>24</v>
      </c>
      <c r="K7" s="1005"/>
      <c r="L7" s="1002">
        <v>247112</v>
      </c>
      <c r="M7" s="1006">
        <v>0.17369999999999999</v>
      </c>
      <c r="N7" s="1006">
        <v>1.9300000000000001E-2</v>
      </c>
      <c r="O7" s="1006">
        <v>3.8999999999999998E-3</v>
      </c>
      <c r="P7" s="1007">
        <v>5.5400000000000001E-7</v>
      </c>
      <c r="Q7" s="1008">
        <v>0.59609250000000003</v>
      </c>
      <c r="R7" s="49">
        <v>226274</v>
      </c>
      <c r="S7" s="1009">
        <v>0.1837</v>
      </c>
      <c r="T7" s="1009">
        <v>1.9800000000000002E-2</v>
      </c>
      <c r="U7" s="1009">
        <v>3.8999999999999998E-3</v>
      </c>
      <c r="V7" s="1001">
        <v>4.1100000000000001E-7</v>
      </c>
      <c r="W7" s="1001">
        <v>0.52132149999999999</v>
      </c>
      <c r="X7" s="1005"/>
      <c r="Y7" s="1002">
        <v>177169</v>
      </c>
      <c r="Z7" s="1006">
        <v>0.16969899999999999</v>
      </c>
      <c r="AA7" s="1006">
        <v>1.9014E-2</v>
      </c>
      <c r="AB7" s="1006">
        <v>4.6119999999999998E-3</v>
      </c>
      <c r="AC7" s="1007">
        <v>3.7499999999999997E-5</v>
      </c>
      <c r="AD7" s="49">
        <v>156331</v>
      </c>
      <c r="AE7" s="1009">
        <v>0.18410000000000001</v>
      </c>
      <c r="AF7" s="1009">
        <v>1.9820000000000001E-2</v>
      </c>
      <c r="AG7" s="1009">
        <v>4.7299999999999998E-3</v>
      </c>
      <c r="AH7" s="1001">
        <v>2.76E-5</v>
      </c>
      <c r="AI7" s="1005"/>
      <c r="AJ7" s="49">
        <v>62857</v>
      </c>
      <c r="AK7" s="1009">
        <v>0.1802</v>
      </c>
      <c r="AL7" s="1009">
        <v>1.865E-2</v>
      </c>
      <c r="AM7" s="1009">
        <v>7.326E-3</v>
      </c>
      <c r="AN7" s="1001">
        <v>1.091E-2</v>
      </c>
      <c r="AO7" s="1001">
        <v>0.50049999999999994</v>
      </c>
      <c r="AP7" s="1009"/>
      <c r="AQ7" s="1005"/>
      <c r="AR7" s="1002">
        <v>7086</v>
      </c>
      <c r="AS7" s="1006">
        <v>0.21046000000000001</v>
      </c>
      <c r="AT7" s="1006">
        <v>3.3000000000000002E-2</v>
      </c>
      <c r="AU7" s="1006">
        <v>2.3723000000000001E-2</v>
      </c>
      <c r="AV7" s="1007">
        <v>0.16420799999999999</v>
      </c>
      <c r="AW7" s="1003">
        <v>0.99998900000000002</v>
      </c>
    </row>
    <row r="8" spans="1:49" x14ac:dyDescent="0.25">
      <c r="A8" s="1002" t="s">
        <v>900</v>
      </c>
      <c r="B8" s="953">
        <v>3</v>
      </c>
      <c r="C8" s="1002" t="s">
        <v>27</v>
      </c>
      <c r="D8" s="1002">
        <v>1</v>
      </c>
      <c r="E8" s="1002">
        <v>154987704</v>
      </c>
      <c r="F8" s="954" t="s">
        <v>28</v>
      </c>
      <c r="G8" s="758" t="s">
        <v>29</v>
      </c>
      <c r="H8" s="943" t="s">
        <v>30</v>
      </c>
      <c r="I8" s="1002" t="s">
        <v>17</v>
      </c>
      <c r="J8" s="1002" t="s">
        <v>23</v>
      </c>
      <c r="K8" s="1005"/>
      <c r="L8" s="1002">
        <v>250084</v>
      </c>
      <c r="M8" s="1006">
        <v>0.97719999999999996</v>
      </c>
      <c r="N8" s="1006">
        <v>7.0300000000000001E-2</v>
      </c>
      <c r="O8" s="1006">
        <v>9.5999999999999992E-3</v>
      </c>
      <c r="P8" s="1007">
        <v>2.3400000000000001E-13</v>
      </c>
      <c r="Q8" s="1008">
        <v>7.9100000000000003E-7</v>
      </c>
      <c r="R8" s="49">
        <v>227469</v>
      </c>
      <c r="S8" s="1009">
        <v>0.97509999999999997</v>
      </c>
      <c r="T8" s="1009">
        <v>7.0699999999999999E-2</v>
      </c>
      <c r="U8" s="1009">
        <v>9.7000000000000003E-3</v>
      </c>
      <c r="V8" s="1001">
        <v>2.3300000000000002E-13</v>
      </c>
      <c r="W8" s="1001">
        <v>7.6000000000000003E-7</v>
      </c>
      <c r="X8" s="1005"/>
      <c r="Y8" s="1002">
        <v>180131</v>
      </c>
      <c r="Z8" s="1006">
        <v>0.97720700000000005</v>
      </c>
      <c r="AA8" s="1006">
        <v>6.3924999999999996E-2</v>
      </c>
      <c r="AB8" s="1006">
        <v>1.1228999999999999E-2</v>
      </c>
      <c r="AC8" s="1007">
        <v>1.2499999999999999E-8</v>
      </c>
      <c r="AD8" s="49">
        <v>157516</v>
      </c>
      <c r="AE8" s="1009">
        <v>0.97440000000000004</v>
      </c>
      <c r="AF8" s="1009">
        <v>6.4449999999999993E-2</v>
      </c>
      <c r="AG8" s="1009">
        <v>1.133E-2</v>
      </c>
      <c r="AH8" s="1001">
        <v>1.28E-8</v>
      </c>
      <c r="AI8" s="1005"/>
      <c r="AJ8" s="49">
        <v>62867</v>
      </c>
      <c r="AK8" s="1009">
        <v>0.97824999999999995</v>
      </c>
      <c r="AL8" s="1009">
        <v>9.3659999999999993E-2</v>
      </c>
      <c r="AM8" s="1009">
        <v>1.9550000000000001E-2</v>
      </c>
      <c r="AN8" s="1001">
        <v>1.6700000000000001E-6</v>
      </c>
      <c r="AO8" s="1001">
        <v>1.39E-25</v>
      </c>
      <c r="AP8" s="1009"/>
      <c r="AQ8" s="1005"/>
      <c r="AR8" s="1002">
        <v>7086</v>
      </c>
      <c r="AS8" s="1006">
        <v>0.96821999999999997</v>
      </c>
      <c r="AT8" s="1006">
        <v>3.6999999999999998E-2</v>
      </c>
      <c r="AU8" s="1006">
        <v>5.5083E-2</v>
      </c>
      <c r="AV8" s="1007">
        <v>0.50176600000000005</v>
      </c>
      <c r="AW8" s="1003">
        <v>0.99672000000000005</v>
      </c>
    </row>
    <row r="9" spans="1:49" x14ac:dyDescent="0.25">
      <c r="A9" s="49" t="s">
        <v>900</v>
      </c>
      <c r="B9" s="953">
        <v>4</v>
      </c>
      <c r="C9" s="49" t="s">
        <v>211</v>
      </c>
      <c r="D9" s="49">
        <v>1</v>
      </c>
      <c r="E9" s="49">
        <v>173802608</v>
      </c>
      <c r="F9" s="954" t="s">
        <v>212</v>
      </c>
      <c r="G9" s="758" t="s">
        <v>213</v>
      </c>
      <c r="I9" s="49" t="s">
        <v>24</v>
      </c>
      <c r="J9" s="49" t="s">
        <v>16</v>
      </c>
      <c r="K9" s="1005"/>
      <c r="L9" s="1002">
        <v>211546</v>
      </c>
      <c r="M9" s="1006">
        <v>4.7999999999999996E-3</v>
      </c>
      <c r="N9" s="1006">
        <v>3.3599999999999998E-2</v>
      </c>
      <c r="O9" s="1006">
        <v>2.7900000000000001E-2</v>
      </c>
      <c r="P9" s="1007">
        <v>0.2281</v>
      </c>
      <c r="Q9" s="1008">
        <v>8.6594099999999993E-2</v>
      </c>
      <c r="R9" s="49">
        <v>192933</v>
      </c>
      <c r="S9" s="1009">
        <v>8.9999999999999998E-4</v>
      </c>
      <c r="T9" s="1009">
        <v>0.1114</v>
      </c>
      <c r="U9" s="1009">
        <v>6.0699999999999997E-2</v>
      </c>
      <c r="V9" s="1001">
        <v>6.6290000000000002E-2</v>
      </c>
      <c r="W9" s="1001">
        <v>6.0161800000000001E-2</v>
      </c>
      <c r="X9" s="1005"/>
      <c r="Y9" s="1002">
        <v>141534</v>
      </c>
      <c r="Z9" s="1006">
        <v>4.9659999999999999E-3</v>
      </c>
      <c r="AA9" s="1006">
        <v>3.2665E-2</v>
      </c>
      <c r="AB9" s="1006">
        <v>2.8334999999999999E-2</v>
      </c>
      <c r="AC9" s="1007">
        <v>0.249</v>
      </c>
      <c r="AD9" s="49">
        <v>122921</v>
      </c>
      <c r="AE9" s="1009">
        <v>9.6000000000000002E-4</v>
      </c>
      <c r="AF9" s="1009">
        <v>0.12141</v>
      </c>
      <c r="AG9" s="1009">
        <v>6.6220000000000001E-2</v>
      </c>
      <c r="AH9" s="1001">
        <v>6.6699999999999995E-2</v>
      </c>
      <c r="AI9" s="1005"/>
      <c r="AJ9" s="49">
        <v>62926</v>
      </c>
      <c r="AK9" s="1009">
        <v>3.8000000000000002E-4</v>
      </c>
      <c r="AL9" s="1009">
        <v>4.6042800000000002E-2</v>
      </c>
      <c r="AM9" s="1009">
        <v>0.154166</v>
      </c>
      <c r="AN9" s="1001">
        <v>0.76520100000000002</v>
      </c>
      <c r="AO9" s="1001"/>
      <c r="AP9" s="1009">
        <v>0.84739900000000001</v>
      </c>
      <c r="AQ9" s="1005"/>
      <c r="AR9" s="1002">
        <v>7086</v>
      </c>
      <c r="AS9" s="1006">
        <v>3.0000000000000001E-5</v>
      </c>
      <c r="AT9" s="1006">
        <v>0.39200000000000002</v>
      </c>
      <c r="AU9" s="1006">
        <v>0.77553609999999995</v>
      </c>
      <c r="AV9" s="1007">
        <v>0.61323799999999995</v>
      </c>
      <c r="AW9" s="1003">
        <v>1</v>
      </c>
    </row>
    <row r="10" spans="1:49" x14ac:dyDescent="0.25">
      <c r="A10" s="49" t="s">
        <v>900</v>
      </c>
      <c r="B10" s="953">
        <v>5</v>
      </c>
      <c r="C10" s="49" t="s">
        <v>257</v>
      </c>
      <c r="D10" s="49">
        <v>1</v>
      </c>
      <c r="E10" s="49">
        <v>205130413</v>
      </c>
      <c r="F10" s="954" t="s">
        <v>258</v>
      </c>
      <c r="G10" s="758" t="s">
        <v>259</v>
      </c>
      <c r="I10" s="49" t="s">
        <v>24</v>
      </c>
      <c r="J10" s="49" t="s">
        <v>16</v>
      </c>
      <c r="K10" s="1005"/>
      <c r="L10" s="1002">
        <v>249471</v>
      </c>
      <c r="M10" s="1006">
        <v>0.91210000000000002</v>
      </c>
      <c r="N10" s="1006">
        <v>3.3799999999999997E-2</v>
      </c>
      <c r="O10" s="1006">
        <v>5.1000000000000004E-3</v>
      </c>
      <c r="P10" s="1007">
        <v>4.46E-11</v>
      </c>
      <c r="Q10" s="1008">
        <v>9.7500000000000006E-8</v>
      </c>
      <c r="R10" s="49">
        <v>226856</v>
      </c>
      <c r="S10" s="1009">
        <v>0.90629999999999999</v>
      </c>
      <c r="T10" s="1009">
        <v>3.4500000000000003E-2</v>
      </c>
      <c r="U10" s="1009">
        <v>5.1999999999999998E-3</v>
      </c>
      <c r="V10" s="1001">
        <v>3.9400000000000001E-11</v>
      </c>
      <c r="W10" s="1001">
        <v>3.15E-7</v>
      </c>
      <c r="X10" s="1005"/>
      <c r="Y10" s="1002">
        <v>179532</v>
      </c>
      <c r="Z10" s="1006">
        <v>0.91311900000000001</v>
      </c>
      <c r="AA10" s="1006">
        <v>2.9933999999999999E-2</v>
      </c>
      <c r="AB10" s="1006">
        <v>6.1349999999999998E-3</v>
      </c>
      <c r="AC10" s="1007">
        <v>1.0699999999999999E-6</v>
      </c>
      <c r="AD10" s="49">
        <v>156917</v>
      </c>
      <c r="AE10" s="1009">
        <v>0.90478999999999998</v>
      </c>
      <c r="AF10" s="1009">
        <v>3.0689999999999999E-2</v>
      </c>
      <c r="AG10" s="1009">
        <v>6.28E-3</v>
      </c>
      <c r="AH10" s="1001">
        <v>1.02E-6</v>
      </c>
      <c r="AI10" s="1005"/>
      <c r="AJ10" s="49">
        <v>62853</v>
      </c>
      <c r="AK10" s="1009">
        <v>0.90830999999999995</v>
      </c>
      <c r="AL10" s="1009">
        <v>4.3450000000000003E-2</v>
      </c>
      <c r="AM10" s="1009">
        <v>9.6939999999999995E-3</v>
      </c>
      <c r="AN10" s="1001">
        <v>7.4000000000000003E-6</v>
      </c>
      <c r="AO10" s="1001">
        <v>0.93100000000000005</v>
      </c>
      <c r="AP10" s="1009"/>
      <c r="AQ10" s="1005"/>
      <c r="AR10" s="1002">
        <v>7086</v>
      </c>
      <c r="AS10" s="1006">
        <v>0.93208999999999997</v>
      </c>
      <c r="AT10" s="1006">
        <v>3.5999999999999997E-2</v>
      </c>
      <c r="AU10" s="1006">
        <v>3.8045900000000001E-2</v>
      </c>
      <c r="AV10" s="1007">
        <v>0.34403299999999998</v>
      </c>
      <c r="AW10" s="1003">
        <v>0.999421</v>
      </c>
    </row>
    <row r="11" spans="1:49" x14ac:dyDescent="0.25">
      <c r="A11" s="49" t="s">
        <v>905</v>
      </c>
      <c r="B11" s="953">
        <v>6</v>
      </c>
      <c r="C11" s="49" t="s">
        <v>906</v>
      </c>
      <c r="D11" s="49">
        <v>2</v>
      </c>
      <c r="E11" s="49">
        <v>15607842</v>
      </c>
      <c r="F11" s="199" t="s">
        <v>907</v>
      </c>
      <c r="G11" s="758" t="s">
        <v>908</v>
      </c>
      <c r="H11" s="953"/>
      <c r="I11" s="49" t="s">
        <v>17</v>
      </c>
      <c r="J11" s="49" t="s">
        <v>23</v>
      </c>
      <c r="K11" s="1005"/>
      <c r="L11" s="1002">
        <v>237919</v>
      </c>
      <c r="M11" s="1006">
        <v>0.64600000000000002</v>
      </c>
      <c r="N11" s="1006">
        <v>1.49E-2</v>
      </c>
      <c r="O11" s="1006">
        <v>4.4000000000000003E-3</v>
      </c>
      <c r="P11" s="1007">
        <v>6.4959999999999996E-4</v>
      </c>
      <c r="Q11" s="1008">
        <v>5.8040799999999997E-2</v>
      </c>
      <c r="R11" s="49">
        <v>219194</v>
      </c>
      <c r="S11" s="1009">
        <v>0.67349999999999999</v>
      </c>
      <c r="T11" s="1009">
        <v>1.6299999999999999E-2</v>
      </c>
      <c r="U11" s="1009">
        <v>4.4000000000000003E-3</v>
      </c>
      <c r="V11" s="1001">
        <v>2.4630000000000002E-4</v>
      </c>
      <c r="W11" s="1001">
        <v>3.8759299999999997E-2</v>
      </c>
      <c r="X11" s="1005"/>
      <c r="Y11" s="1002">
        <v>174187</v>
      </c>
      <c r="Z11" s="1006">
        <v>0.63492899999999997</v>
      </c>
      <c r="AA11" s="1006">
        <v>2.3567999999999999E-2</v>
      </c>
      <c r="AB11" s="1006">
        <v>5.1510000000000002E-3</v>
      </c>
      <c r="AC11" s="1007">
        <v>4.7600000000000002E-6</v>
      </c>
      <c r="AD11" s="49">
        <v>155462</v>
      </c>
      <c r="AE11" s="1009">
        <v>0.67315999999999998</v>
      </c>
      <c r="AF11" s="1009">
        <v>2.5989999999999999E-2</v>
      </c>
      <c r="AG11" s="1009">
        <v>5.28E-3</v>
      </c>
      <c r="AH11" s="1001">
        <v>8.4900000000000005E-7</v>
      </c>
      <c r="AI11" s="1005"/>
      <c r="AJ11" s="49">
        <v>56646</v>
      </c>
      <c r="AK11" s="1009">
        <v>0.67745999999999995</v>
      </c>
      <c r="AL11" s="1009">
        <v>-8.0958000000000002E-3</v>
      </c>
      <c r="AM11" s="1009">
        <v>8.4221000000000001E-3</v>
      </c>
      <c r="AN11" s="1001">
        <v>0.336424</v>
      </c>
      <c r="AO11" s="1001"/>
      <c r="AP11" s="1009">
        <v>0.99872000000000005</v>
      </c>
      <c r="AQ11" s="1005"/>
      <c r="AR11" s="1002">
        <v>7086</v>
      </c>
      <c r="AS11" s="1006">
        <v>0.61165000000000003</v>
      </c>
      <c r="AT11" s="1006">
        <v>0.01</v>
      </c>
      <c r="AU11" s="1006">
        <v>3.6640800000000001E-2</v>
      </c>
      <c r="AV11" s="1007">
        <v>0.78491500000000003</v>
      </c>
      <c r="AW11" s="1003">
        <v>1</v>
      </c>
    </row>
    <row r="12" spans="1:49" x14ac:dyDescent="0.25">
      <c r="A12" s="49" t="s">
        <v>900</v>
      </c>
      <c r="B12" s="953">
        <v>7</v>
      </c>
      <c r="C12" s="49" t="s">
        <v>32</v>
      </c>
      <c r="D12" s="49">
        <v>2</v>
      </c>
      <c r="E12" s="49">
        <v>158412701</v>
      </c>
      <c r="F12" s="954" t="s">
        <v>33</v>
      </c>
      <c r="G12" s="758" t="s">
        <v>34</v>
      </c>
      <c r="I12" s="49" t="s">
        <v>23</v>
      </c>
      <c r="J12" s="49" t="s">
        <v>24</v>
      </c>
      <c r="K12" s="1005"/>
      <c r="L12" s="1002">
        <v>245808</v>
      </c>
      <c r="M12" s="1006">
        <v>0.98880000000000001</v>
      </c>
      <c r="N12" s="1006">
        <v>0.1134</v>
      </c>
      <c r="O12" s="1006">
        <v>1.4200000000000001E-2</v>
      </c>
      <c r="P12" s="1007">
        <v>1.6800000000000001E-15</v>
      </c>
      <c r="Q12" s="1008">
        <v>1.7100000000000001E-7</v>
      </c>
      <c r="R12" s="49">
        <v>227474</v>
      </c>
      <c r="S12" s="1009">
        <v>0.98829999999999996</v>
      </c>
      <c r="T12" s="1009">
        <v>0.10920000000000001</v>
      </c>
      <c r="U12" s="1009">
        <v>1.43E-2</v>
      </c>
      <c r="V12" s="1001">
        <v>2.68E-14</v>
      </c>
      <c r="W12" s="1001">
        <v>8.1900000000000001E-7</v>
      </c>
      <c r="X12" s="1005"/>
      <c r="Y12" s="1002">
        <v>175850</v>
      </c>
      <c r="Z12" s="1006">
        <v>0.99032900000000001</v>
      </c>
      <c r="AA12" s="1006">
        <v>9.4434000000000004E-2</v>
      </c>
      <c r="AB12" s="1006">
        <v>1.7781999999999999E-2</v>
      </c>
      <c r="AC12" s="1007">
        <v>1.09E-7</v>
      </c>
      <c r="AD12" s="49">
        <v>157516</v>
      </c>
      <c r="AE12" s="1009">
        <v>0.98945000000000005</v>
      </c>
      <c r="AF12" s="1009">
        <v>8.7410000000000002E-2</v>
      </c>
      <c r="AG12" s="1009">
        <v>1.7989999999999999E-2</v>
      </c>
      <c r="AH12" s="1001">
        <v>1.17E-6</v>
      </c>
      <c r="AI12" s="1005"/>
      <c r="AJ12" s="49">
        <v>62872</v>
      </c>
      <c r="AK12" s="1009">
        <v>0.98792999999999997</v>
      </c>
      <c r="AL12" s="1009">
        <v>0.1512</v>
      </c>
      <c r="AM12" s="1009">
        <v>2.5649999999999999E-2</v>
      </c>
      <c r="AN12" s="1001">
        <v>3.7799999999999998E-9</v>
      </c>
      <c r="AO12" s="1001">
        <v>0.14430000000000001</v>
      </c>
      <c r="AP12" s="1009"/>
      <c r="AQ12" s="1005"/>
      <c r="AR12" s="1002">
        <v>7086</v>
      </c>
      <c r="AS12" s="1006">
        <v>0.97548000000000001</v>
      </c>
      <c r="AT12" s="1006">
        <v>0.124</v>
      </c>
      <c r="AU12" s="1006">
        <v>6.3605599999999998E-2</v>
      </c>
      <c r="AV12" s="1007">
        <v>5.1234000000000002E-2</v>
      </c>
      <c r="AW12" s="1003">
        <v>0.99405500000000002</v>
      </c>
    </row>
    <row r="13" spans="1:49" ht="45" x14ac:dyDescent="0.25">
      <c r="A13" s="49" t="s">
        <v>900</v>
      </c>
      <c r="B13" s="953">
        <v>8</v>
      </c>
      <c r="C13" s="49" t="s">
        <v>37</v>
      </c>
      <c r="D13" s="49">
        <v>2</v>
      </c>
      <c r="E13" s="49">
        <v>165551201</v>
      </c>
      <c r="F13" s="954" t="s">
        <v>38</v>
      </c>
      <c r="G13" s="758" t="s">
        <v>39</v>
      </c>
      <c r="H13" s="943" t="s">
        <v>40</v>
      </c>
      <c r="I13" s="49" t="s">
        <v>23</v>
      </c>
      <c r="J13" s="49" t="s">
        <v>17</v>
      </c>
      <c r="K13" s="1005"/>
      <c r="L13" s="1002">
        <v>216636</v>
      </c>
      <c r="M13" s="1006">
        <v>0.87809999999999999</v>
      </c>
      <c r="N13" s="1006">
        <v>6.2300000000000001E-2</v>
      </c>
      <c r="O13" s="1006">
        <v>4.7999999999999996E-3</v>
      </c>
      <c r="P13" s="1007">
        <v>6.6899999999999997E-39</v>
      </c>
      <c r="Q13" s="1008">
        <v>3.010203E-30</v>
      </c>
      <c r="R13" s="49">
        <v>199252</v>
      </c>
      <c r="S13" s="1009">
        <v>0.87739999999999996</v>
      </c>
      <c r="T13" s="1009">
        <v>6.3399999999999998E-2</v>
      </c>
      <c r="U13" s="1009">
        <v>5.0000000000000001E-3</v>
      </c>
      <c r="V13" s="1001">
        <v>2.4300000000000001E-37</v>
      </c>
      <c r="W13" s="1001">
        <v>1.7983499999999999E-28</v>
      </c>
      <c r="X13" s="1005"/>
      <c r="Y13" s="1002">
        <v>146624</v>
      </c>
      <c r="Z13" s="1006">
        <v>0.87769600000000003</v>
      </c>
      <c r="AA13" s="1006">
        <v>5.9962000000000001E-2</v>
      </c>
      <c r="AB13" s="1006">
        <v>5.8799999999999998E-3</v>
      </c>
      <c r="AC13" s="1007">
        <v>2.0200000000000002E-24</v>
      </c>
      <c r="AD13" s="49">
        <v>129240</v>
      </c>
      <c r="AE13" s="1009">
        <v>0.87661999999999995</v>
      </c>
      <c r="AF13" s="1009">
        <v>6.1350000000000002E-2</v>
      </c>
      <c r="AG13" s="1009">
        <v>6.2399999999999999E-3</v>
      </c>
      <c r="AH13" s="1001">
        <v>7.7599999999999998E-23</v>
      </c>
      <c r="AI13" s="1005"/>
      <c r="AJ13" s="49">
        <v>62926</v>
      </c>
      <c r="AK13" s="1009">
        <v>0.88249</v>
      </c>
      <c r="AL13" s="1009">
        <v>7.6939900000000006E-2</v>
      </c>
      <c r="AM13" s="1009">
        <v>8.7606000000000003E-3</v>
      </c>
      <c r="AN13" s="1001">
        <v>1.6E-18</v>
      </c>
      <c r="AO13" s="1001"/>
      <c r="AP13" s="1009">
        <v>0.99783699999999997</v>
      </c>
      <c r="AQ13" s="1005"/>
      <c r="AR13" s="1002">
        <v>7086</v>
      </c>
      <c r="AS13" s="1006">
        <v>0.85274000000000005</v>
      </c>
      <c r="AT13" s="1006">
        <v>-3.0000000000000001E-3</v>
      </c>
      <c r="AU13" s="1006">
        <v>2.3102000000000001E-2</v>
      </c>
      <c r="AV13" s="1007">
        <v>0.89667799999999998</v>
      </c>
      <c r="AW13" s="1003">
        <v>0.99975800000000004</v>
      </c>
    </row>
    <row r="14" spans="1:49" x14ac:dyDescent="0.25">
      <c r="A14" s="49" t="s">
        <v>900</v>
      </c>
      <c r="B14" s="953">
        <v>9</v>
      </c>
      <c r="C14" s="49" t="s">
        <v>42</v>
      </c>
      <c r="D14" s="49">
        <v>2</v>
      </c>
      <c r="E14" s="49">
        <v>188343497</v>
      </c>
      <c r="F14" s="954" t="s">
        <v>43</v>
      </c>
      <c r="G14" s="758" t="s">
        <v>44</v>
      </c>
      <c r="H14" s="943" t="s">
        <v>45</v>
      </c>
      <c r="I14" s="49" t="s">
        <v>23</v>
      </c>
      <c r="J14" s="49" t="s">
        <v>17</v>
      </c>
      <c r="K14" s="1005"/>
      <c r="L14" s="1002">
        <v>238415</v>
      </c>
      <c r="M14" s="1006">
        <v>0.69569999999999999</v>
      </c>
      <c r="N14" s="1006">
        <v>1.77E-2</v>
      </c>
      <c r="O14" s="1006">
        <v>3.2000000000000002E-3</v>
      </c>
      <c r="P14" s="1007">
        <v>5.1499999999999998E-8</v>
      </c>
      <c r="Q14" s="1008">
        <v>0.62948689999999996</v>
      </c>
      <c r="R14" s="49">
        <v>215800</v>
      </c>
      <c r="S14" s="1009">
        <v>0.69489999999999996</v>
      </c>
      <c r="T14" s="1009">
        <v>0.02</v>
      </c>
      <c r="U14" s="1009">
        <v>3.3999999999999998E-3</v>
      </c>
      <c r="V14" s="1001">
        <v>4.3500000000000001E-9</v>
      </c>
      <c r="W14" s="1001">
        <v>0.79128580000000004</v>
      </c>
      <c r="X14" s="1005"/>
      <c r="Y14" s="1002">
        <v>168484</v>
      </c>
      <c r="Z14" s="1006">
        <v>0.691882</v>
      </c>
      <c r="AA14" s="1006">
        <v>1.3651E-2</v>
      </c>
      <c r="AB14" s="1006">
        <v>3.8809999999999999E-3</v>
      </c>
      <c r="AC14" s="1007">
        <v>4.35E-4</v>
      </c>
      <c r="AD14" s="49">
        <v>145869</v>
      </c>
      <c r="AE14" s="1009">
        <v>0.69013000000000002</v>
      </c>
      <c r="AF14" s="1009">
        <v>1.652E-2</v>
      </c>
      <c r="AG14" s="1009">
        <v>4.1700000000000001E-3</v>
      </c>
      <c r="AH14" s="1001">
        <v>7.4300000000000004E-5</v>
      </c>
      <c r="AI14" s="1005"/>
      <c r="AJ14" s="49">
        <v>62845</v>
      </c>
      <c r="AK14" s="1009">
        <v>0.70640000000000003</v>
      </c>
      <c r="AL14" s="1009">
        <v>2.8080000000000001E-2</v>
      </c>
      <c r="AM14" s="1009">
        <v>6.1989999999999996E-3</v>
      </c>
      <c r="AN14" s="1001">
        <v>5.9000000000000003E-6</v>
      </c>
      <c r="AO14" s="1001">
        <v>0.12939999999999999</v>
      </c>
      <c r="AP14" s="1009"/>
      <c r="AQ14" s="1005"/>
      <c r="AR14" s="1002">
        <v>7086</v>
      </c>
      <c r="AS14" s="1006">
        <v>0.68301000000000001</v>
      </c>
      <c r="AT14" s="1006">
        <v>1.7000000000000001E-2</v>
      </c>
      <c r="AU14" s="1006">
        <v>2.0911099999999998E-2</v>
      </c>
      <c r="AV14" s="1007">
        <v>0.416238</v>
      </c>
      <c r="AW14" s="1003">
        <v>0.99996600000000002</v>
      </c>
    </row>
    <row r="15" spans="1:49" x14ac:dyDescent="0.25">
      <c r="A15" s="49" t="s">
        <v>900</v>
      </c>
      <c r="B15" s="1301">
        <v>10</v>
      </c>
      <c r="C15" s="49" t="s">
        <v>909</v>
      </c>
      <c r="D15" s="49">
        <v>3</v>
      </c>
      <c r="E15" s="49">
        <v>47125385</v>
      </c>
      <c r="F15" s="954" t="s">
        <v>910</v>
      </c>
      <c r="G15" s="758" t="s">
        <v>911</v>
      </c>
      <c r="I15" s="49" t="s">
        <v>16</v>
      </c>
      <c r="J15" s="49" t="s">
        <v>24</v>
      </c>
      <c r="K15" s="1005"/>
      <c r="L15" s="1002">
        <v>180131</v>
      </c>
      <c r="M15" s="1006">
        <v>0.55630000000000002</v>
      </c>
      <c r="N15" s="1006">
        <v>1.5800000000000002E-2</v>
      </c>
      <c r="O15" s="1006">
        <v>3.5000000000000001E-3</v>
      </c>
      <c r="P15" s="1007">
        <v>8.5699999999999993E-6</v>
      </c>
      <c r="Q15" s="1008">
        <v>0.18558140000000001</v>
      </c>
      <c r="R15" s="49">
        <v>157516</v>
      </c>
      <c r="S15" s="1009">
        <v>0.5756</v>
      </c>
      <c r="T15" s="1009">
        <v>1.66E-2</v>
      </c>
      <c r="U15" s="1009">
        <v>3.8E-3</v>
      </c>
      <c r="V15" s="1001">
        <v>1.13E-5</v>
      </c>
      <c r="W15" s="1001">
        <v>6.7690299999999995E-2</v>
      </c>
      <c r="X15" s="1005"/>
      <c r="Y15" s="1002">
        <v>180131</v>
      </c>
      <c r="Z15" s="1006">
        <v>0.55627400000000005</v>
      </c>
      <c r="AA15" s="1006">
        <v>1.5762999999999999E-2</v>
      </c>
      <c r="AB15" s="1006">
        <v>3.542E-3</v>
      </c>
      <c r="AC15" s="1007">
        <v>8.5699999999999993E-6</v>
      </c>
      <c r="AD15" s="49">
        <v>157516</v>
      </c>
      <c r="AE15" s="1009">
        <v>0.57565</v>
      </c>
      <c r="AF15" s="1009">
        <v>1.66E-2</v>
      </c>
      <c r="AG15" s="1009">
        <v>3.7799999999999999E-3</v>
      </c>
      <c r="AH15" s="1001">
        <v>1.15E-5</v>
      </c>
      <c r="AI15" s="1005"/>
      <c r="AK15" s="1009"/>
      <c r="AL15" s="1009"/>
      <c r="AM15" s="1009"/>
      <c r="AN15" s="1001"/>
      <c r="AO15" s="1001"/>
      <c r="AP15" s="1009"/>
      <c r="AQ15" s="1005"/>
      <c r="AR15" s="1002"/>
      <c r="AS15" s="1006"/>
      <c r="AT15" s="1006"/>
      <c r="AU15" s="1006"/>
      <c r="AV15" s="1007"/>
      <c r="AW15" s="1003"/>
    </row>
    <row r="16" spans="1:49" x14ac:dyDescent="0.25">
      <c r="A16" s="49" t="s">
        <v>900</v>
      </c>
      <c r="B16" s="1301"/>
      <c r="C16" s="49" t="s">
        <v>912</v>
      </c>
      <c r="D16" s="49">
        <v>3</v>
      </c>
      <c r="E16" s="49">
        <v>47282303</v>
      </c>
      <c r="F16" s="954" t="s">
        <v>913</v>
      </c>
      <c r="G16" s="758" t="s">
        <v>914</v>
      </c>
      <c r="I16" s="49" t="s">
        <v>16</v>
      </c>
      <c r="J16" s="49" t="s">
        <v>24</v>
      </c>
      <c r="K16" s="1005"/>
      <c r="L16" s="1002">
        <v>180131</v>
      </c>
      <c r="M16" s="1006">
        <v>0.58940000000000003</v>
      </c>
      <c r="N16" s="1006">
        <v>1.5299999999999999E-2</v>
      </c>
      <c r="O16" s="1006">
        <v>3.5000000000000001E-3</v>
      </c>
      <c r="P16" s="1007">
        <v>1.6099999999999998E-5</v>
      </c>
      <c r="Q16" s="1008">
        <v>0.3662861</v>
      </c>
      <c r="R16" s="49">
        <v>157516</v>
      </c>
      <c r="S16" s="1009">
        <v>0.59489999999999998</v>
      </c>
      <c r="T16" s="1009">
        <v>1.5599999999999999E-2</v>
      </c>
      <c r="U16" s="1009">
        <v>3.8E-3</v>
      </c>
      <c r="V16" s="1001">
        <v>4.1399999999999997E-5</v>
      </c>
      <c r="W16" s="1001">
        <v>0.20742659999999999</v>
      </c>
      <c r="X16" s="1005"/>
      <c r="Y16" s="1002">
        <v>180131</v>
      </c>
      <c r="Z16" s="1006">
        <v>0.58941200000000005</v>
      </c>
      <c r="AA16" s="1006">
        <v>1.5287E-2</v>
      </c>
      <c r="AB16" s="1006">
        <v>3.5439999999999998E-3</v>
      </c>
      <c r="AC16" s="1007">
        <v>1.6099999999999998E-5</v>
      </c>
      <c r="AD16" s="49">
        <v>157516</v>
      </c>
      <c r="AE16" s="1009">
        <v>0.59487000000000001</v>
      </c>
      <c r="AF16" s="1009">
        <v>1.562E-2</v>
      </c>
      <c r="AG16" s="1009">
        <v>3.81E-3</v>
      </c>
      <c r="AH16" s="1001">
        <v>4.1399999999999997E-5</v>
      </c>
      <c r="AI16" s="1005"/>
      <c r="AK16" s="1009"/>
      <c r="AL16" s="1009"/>
      <c r="AM16" s="1009"/>
      <c r="AN16" s="1001"/>
      <c r="AO16" s="1001"/>
      <c r="AP16" s="1009"/>
      <c r="AQ16" s="1005"/>
      <c r="AR16" s="1002"/>
      <c r="AS16" s="1006"/>
      <c r="AT16" s="1006"/>
      <c r="AU16" s="1006"/>
      <c r="AV16" s="1007"/>
      <c r="AW16" s="1003"/>
    </row>
    <row r="17" spans="1:49" x14ac:dyDescent="0.25">
      <c r="A17" s="49" t="s">
        <v>900</v>
      </c>
      <c r="B17" s="953">
        <v>11</v>
      </c>
      <c r="C17" s="49" t="s">
        <v>47</v>
      </c>
      <c r="D17" s="49">
        <v>3</v>
      </c>
      <c r="E17" s="49">
        <v>50597092</v>
      </c>
      <c r="F17" s="954" t="s">
        <v>48</v>
      </c>
      <c r="G17" s="758" t="s">
        <v>49</v>
      </c>
      <c r="I17" s="49" t="s">
        <v>24</v>
      </c>
      <c r="J17" s="49" t="s">
        <v>16</v>
      </c>
      <c r="K17" s="1005"/>
      <c r="L17" s="1002">
        <v>245768</v>
      </c>
      <c r="M17" s="1006">
        <v>0.13650000000000001</v>
      </c>
      <c r="N17" s="1006">
        <v>1.67E-2</v>
      </c>
      <c r="O17" s="1006">
        <v>4.3E-3</v>
      </c>
      <c r="P17" s="1007">
        <v>1.061E-4</v>
      </c>
      <c r="Q17" s="1008">
        <v>0.88411050000000002</v>
      </c>
      <c r="R17" s="49">
        <v>227434</v>
      </c>
      <c r="S17" s="1009">
        <v>0.1298</v>
      </c>
      <c r="T17" s="1009">
        <v>1.66E-2</v>
      </c>
      <c r="U17" s="1009">
        <v>4.4999999999999997E-3</v>
      </c>
      <c r="V17" s="1001">
        <v>2.5839999999999999E-4</v>
      </c>
      <c r="W17" s="1001">
        <v>0.92594279999999995</v>
      </c>
      <c r="X17" s="1005"/>
      <c r="Y17" s="1002">
        <v>175850</v>
      </c>
      <c r="Z17" s="1006">
        <v>0.13940900000000001</v>
      </c>
      <c r="AA17" s="1006">
        <v>1.9975E-2</v>
      </c>
      <c r="AB17" s="1006">
        <v>5.0790000000000002E-3</v>
      </c>
      <c r="AC17" s="1007">
        <v>8.3999999999999995E-5</v>
      </c>
      <c r="AD17" s="49">
        <v>157516</v>
      </c>
      <c r="AE17" s="1009">
        <v>0.13003000000000001</v>
      </c>
      <c r="AF17" s="1009">
        <v>2.0420000000000001E-2</v>
      </c>
      <c r="AG17" s="1009">
        <v>5.4900000000000001E-3</v>
      </c>
      <c r="AH17" s="1001">
        <v>1.9900000000000001E-4</v>
      </c>
      <c r="AI17" s="1005"/>
      <c r="AJ17" s="49">
        <v>62832</v>
      </c>
      <c r="AK17" s="1009">
        <v>0.1295</v>
      </c>
      <c r="AL17" s="1009">
        <v>6.5170000000000002E-3</v>
      </c>
      <c r="AM17" s="1009">
        <v>8.3899999999999999E-3</v>
      </c>
      <c r="AN17" s="1001">
        <v>0.43730000000000002</v>
      </c>
      <c r="AO17" s="1001">
        <v>0.53059999999999996</v>
      </c>
      <c r="AP17" s="1009"/>
      <c r="AQ17" s="1005"/>
      <c r="AR17" s="1002">
        <v>7086</v>
      </c>
      <c r="AS17" s="1006">
        <v>0.12595000000000001</v>
      </c>
      <c r="AT17" s="1006">
        <v>0.03</v>
      </c>
      <c r="AU17" s="1006">
        <v>2.9275300000000001E-2</v>
      </c>
      <c r="AV17" s="1007">
        <v>0.305479</v>
      </c>
      <c r="AW17" s="1003">
        <v>0.99963199999999997</v>
      </c>
    </row>
    <row r="18" spans="1:49" x14ac:dyDescent="0.25">
      <c r="A18" s="49" t="s">
        <v>900</v>
      </c>
      <c r="B18" s="1301">
        <v>12</v>
      </c>
      <c r="C18" s="49" t="s">
        <v>51</v>
      </c>
      <c r="D18" s="49">
        <v>3</v>
      </c>
      <c r="E18" s="49">
        <v>52558008</v>
      </c>
      <c r="F18" s="954" t="s">
        <v>915</v>
      </c>
      <c r="G18" s="758" t="s">
        <v>52</v>
      </c>
      <c r="H18" s="1233" t="s">
        <v>53</v>
      </c>
      <c r="I18" s="49" t="s">
        <v>23</v>
      </c>
      <c r="J18" s="49" t="s">
        <v>17</v>
      </c>
      <c r="K18" s="1005"/>
      <c r="L18" s="1002">
        <v>246543</v>
      </c>
      <c r="M18" s="1006">
        <v>0.4365</v>
      </c>
      <c r="N18" s="1006">
        <v>2.2800000000000001E-2</v>
      </c>
      <c r="O18" s="1006">
        <v>3.0000000000000001E-3</v>
      </c>
      <c r="P18" s="1007">
        <v>5.2499999999999997E-14</v>
      </c>
      <c r="Q18" s="1008">
        <v>6.73232E-2</v>
      </c>
      <c r="R18" s="49">
        <v>224423</v>
      </c>
      <c r="S18" s="1009">
        <v>0.43380000000000002</v>
      </c>
      <c r="T18" s="1009">
        <v>2.4199999999999999E-2</v>
      </c>
      <c r="U18" s="1009">
        <v>3.2000000000000002E-3</v>
      </c>
      <c r="V18" s="1001">
        <v>2.38E-14</v>
      </c>
      <c r="W18" s="1001">
        <v>0.1143533</v>
      </c>
      <c r="X18" s="1005"/>
      <c r="Y18" s="1002">
        <v>176895</v>
      </c>
      <c r="Z18" s="1006">
        <v>0.43499300000000002</v>
      </c>
      <c r="AA18" s="1006">
        <v>2.0046999999999999E-2</v>
      </c>
      <c r="AB18" s="1006">
        <v>3.6489999999999999E-3</v>
      </c>
      <c r="AC18" s="1007">
        <v>3.9400000000000002E-8</v>
      </c>
      <c r="AD18" s="49">
        <v>154775</v>
      </c>
      <c r="AE18" s="1009">
        <v>0.43068000000000001</v>
      </c>
      <c r="AF18" s="1009">
        <v>2.1780000000000001E-2</v>
      </c>
      <c r="AG18" s="1009">
        <v>3.9100000000000003E-3</v>
      </c>
      <c r="AH18" s="1001">
        <v>2.55E-8</v>
      </c>
      <c r="AI18" s="1005"/>
      <c r="AJ18" s="49">
        <v>62562</v>
      </c>
      <c r="AK18" s="1009">
        <v>0.44130000000000003</v>
      </c>
      <c r="AL18" s="1009">
        <v>3.0009999999999998E-2</v>
      </c>
      <c r="AM18" s="1009">
        <v>5.6930000000000001E-3</v>
      </c>
      <c r="AN18" s="1001">
        <v>1.36E-7</v>
      </c>
      <c r="AO18" s="1001">
        <v>0.5655</v>
      </c>
      <c r="AP18" s="1009"/>
      <c r="AQ18" s="1005"/>
      <c r="AR18" s="1002">
        <v>7086</v>
      </c>
      <c r="AS18" s="1006">
        <v>0.42359999999999998</v>
      </c>
      <c r="AT18" s="1006">
        <v>1.7999999999999999E-2</v>
      </c>
      <c r="AU18" s="1006">
        <v>1.8949400000000002E-2</v>
      </c>
      <c r="AV18" s="1007">
        <v>0.34216299999999999</v>
      </c>
      <c r="AW18" s="1003">
        <v>0.99944200000000005</v>
      </c>
    </row>
    <row r="19" spans="1:49" x14ac:dyDescent="0.25">
      <c r="A19" s="49" t="s">
        <v>900</v>
      </c>
      <c r="B19" s="1301"/>
      <c r="C19" s="49" t="s">
        <v>55</v>
      </c>
      <c r="D19" s="49">
        <v>3</v>
      </c>
      <c r="E19" s="49">
        <v>52833805</v>
      </c>
      <c r="F19" s="954" t="s">
        <v>916</v>
      </c>
      <c r="G19" s="758" t="s">
        <v>56</v>
      </c>
      <c r="H19" s="1233"/>
      <c r="I19" s="49" t="s">
        <v>17</v>
      </c>
      <c r="J19" s="49" t="s">
        <v>16</v>
      </c>
      <c r="K19" s="1005"/>
      <c r="L19" s="1002">
        <v>227045</v>
      </c>
      <c r="M19" s="1006">
        <v>0.53420000000000001</v>
      </c>
      <c r="N19" s="1006">
        <v>1.7500000000000002E-2</v>
      </c>
      <c r="O19" s="1006">
        <v>3.0999999999999999E-3</v>
      </c>
      <c r="P19" s="1007">
        <v>1.7999999999999999E-8</v>
      </c>
      <c r="Q19" s="1008">
        <v>0.40022659999999999</v>
      </c>
      <c r="R19" s="49">
        <v>204430</v>
      </c>
      <c r="S19" s="1009">
        <v>0.54169999999999996</v>
      </c>
      <c r="T19" s="1009">
        <v>1.8499999999999999E-2</v>
      </c>
      <c r="U19" s="1009">
        <v>3.3E-3</v>
      </c>
      <c r="V19" s="1001">
        <v>1.4100000000000001E-8</v>
      </c>
      <c r="W19" s="1001">
        <v>0.77558009999999999</v>
      </c>
      <c r="X19" s="1005"/>
      <c r="Y19" s="1002">
        <v>157174</v>
      </c>
      <c r="Z19" s="1006">
        <v>0.52643300000000004</v>
      </c>
      <c r="AA19" s="1006">
        <v>1.5626000000000001E-2</v>
      </c>
      <c r="AB19" s="1006">
        <v>3.8080000000000002E-3</v>
      </c>
      <c r="AC19" s="1007">
        <v>4.07E-5</v>
      </c>
      <c r="AD19" s="49">
        <v>134559</v>
      </c>
      <c r="AE19" s="1009">
        <v>0.53703999999999996</v>
      </c>
      <c r="AF19" s="1009">
        <v>1.6899999999999998E-2</v>
      </c>
      <c r="AG19" s="1009">
        <v>4.1000000000000003E-3</v>
      </c>
      <c r="AH19" s="1001">
        <v>3.6999999999999998E-5</v>
      </c>
      <c r="AI19" s="1005"/>
      <c r="AJ19" s="49">
        <v>62785</v>
      </c>
      <c r="AK19" s="1009">
        <v>0.55049999999999999</v>
      </c>
      <c r="AL19" s="1009">
        <v>2.2800000000000001E-2</v>
      </c>
      <c r="AM19" s="1009">
        <v>5.6709999999999998E-3</v>
      </c>
      <c r="AN19" s="1001">
        <v>5.8100000000000003E-5</v>
      </c>
      <c r="AO19" s="1001">
        <v>0.66180000000000005</v>
      </c>
      <c r="AP19" s="1009"/>
      <c r="AQ19" s="1005"/>
      <c r="AR19" s="1002">
        <v>7086</v>
      </c>
      <c r="AS19" s="1006">
        <v>0.54373000000000005</v>
      </c>
      <c r="AT19" s="1006">
        <v>7.0000000000000001E-3</v>
      </c>
      <c r="AU19" s="1006">
        <v>1.8006600000000001E-2</v>
      </c>
      <c r="AV19" s="1007">
        <v>0.69746300000000006</v>
      </c>
      <c r="AW19" s="1003">
        <v>0.99976799999999999</v>
      </c>
    </row>
    <row r="20" spans="1:49" x14ac:dyDescent="0.25">
      <c r="A20" s="49" t="s">
        <v>900</v>
      </c>
      <c r="B20" s="1301">
        <v>13</v>
      </c>
      <c r="C20" s="49" t="s">
        <v>58</v>
      </c>
      <c r="D20" s="49">
        <v>3</v>
      </c>
      <c r="E20" s="49">
        <v>129137188</v>
      </c>
      <c r="F20" s="954" t="s">
        <v>917</v>
      </c>
      <c r="G20" s="758" t="s">
        <v>59</v>
      </c>
      <c r="H20" s="1233" t="s">
        <v>60</v>
      </c>
      <c r="I20" s="49" t="s">
        <v>17</v>
      </c>
      <c r="J20" s="49" t="s">
        <v>23</v>
      </c>
      <c r="K20" s="1005"/>
      <c r="L20" s="1002">
        <v>250045</v>
      </c>
      <c r="M20" s="1006">
        <v>0.93559999999999999</v>
      </c>
      <c r="N20" s="1006">
        <v>5.0900000000000001E-2</v>
      </c>
      <c r="O20" s="1006">
        <v>5.8999999999999999E-3</v>
      </c>
      <c r="P20" s="1007">
        <v>8.0800000000000001E-18</v>
      </c>
      <c r="Q20" s="1008">
        <v>9.31E-5</v>
      </c>
      <c r="R20" s="49">
        <v>227430</v>
      </c>
      <c r="S20" s="1009">
        <v>0.93100000000000005</v>
      </c>
      <c r="T20" s="1009">
        <v>5.33E-2</v>
      </c>
      <c r="U20" s="1009">
        <v>6.0000000000000001E-3</v>
      </c>
      <c r="V20" s="1001">
        <v>4.8800000000000002E-19</v>
      </c>
      <c r="W20" s="1001">
        <v>7.8499999999999997E-5</v>
      </c>
      <c r="X20" s="1005"/>
      <c r="Y20" s="1002">
        <v>180131</v>
      </c>
      <c r="Z20" s="1006">
        <v>0.93886999999999998</v>
      </c>
      <c r="AA20" s="1006">
        <v>4.9549000000000003E-2</v>
      </c>
      <c r="AB20" s="1006">
        <v>7.1549999999999999E-3</v>
      </c>
      <c r="AC20" s="1007">
        <v>4.3399999999999997E-12</v>
      </c>
      <c r="AD20" s="49">
        <v>157516</v>
      </c>
      <c r="AE20" s="1009">
        <v>0.93215000000000003</v>
      </c>
      <c r="AF20" s="1009">
        <v>5.3120000000000001E-2</v>
      </c>
      <c r="AG20" s="1009">
        <v>7.2700000000000004E-3</v>
      </c>
      <c r="AH20" s="1001">
        <v>2.7599999999999999E-13</v>
      </c>
      <c r="AI20" s="1005"/>
      <c r="AJ20" s="49">
        <v>62828</v>
      </c>
      <c r="AK20" s="1009">
        <v>0.92864000000000002</v>
      </c>
      <c r="AL20" s="1009">
        <v>5.0410000000000003E-2</v>
      </c>
      <c r="AM20" s="1009">
        <v>1.0999999999999999E-2</v>
      </c>
      <c r="AN20" s="1001">
        <v>4.5700000000000003E-6</v>
      </c>
      <c r="AO20" s="1001">
        <v>0.48599999999999999</v>
      </c>
      <c r="AP20" s="1009"/>
      <c r="AQ20" s="1005"/>
      <c r="AR20" s="1002">
        <v>7086</v>
      </c>
      <c r="AS20" s="1006">
        <v>0.92795000000000005</v>
      </c>
      <c r="AT20" s="1006">
        <v>9.1999999999999998E-2</v>
      </c>
      <c r="AU20" s="1006">
        <v>3.6763299999999999E-2</v>
      </c>
      <c r="AV20" s="1007">
        <v>1.23322E-2</v>
      </c>
      <c r="AW20" s="1003">
        <v>0.99748199999999998</v>
      </c>
    </row>
    <row r="21" spans="1:49" x14ac:dyDescent="0.25">
      <c r="A21" s="49" t="s">
        <v>900</v>
      </c>
      <c r="B21" s="1301"/>
      <c r="C21" s="49" t="s">
        <v>62</v>
      </c>
      <c r="D21" s="49">
        <v>3</v>
      </c>
      <c r="E21" s="49">
        <v>129284818</v>
      </c>
      <c r="F21" s="1303" t="s">
        <v>216</v>
      </c>
      <c r="G21" s="758" t="s">
        <v>63</v>
      </c>
      <c r="H21" s="1233"/>
      <c r="I21" s="49" t="s">
        <v>16</v>
      </c>
      <c r="J21" s="49" t="s">
        <v>17</v>
      </c>
      <c r="K21" s="1005"/>
      <c r="L21" s="1002">
        <v>250023</v>
      </c>
      <c r="M21" s="1006">
        <v>0.72960000000000003</v>
      </c>
      <c r="N21" s="1006">
        <v>2.4799999999999999E-2</v>
      </c>
      <c r="O21" s="1006">
        <v>3.3E-3</v>
      </c>
      <c r="P21" s="1007">
        <v>8.23E-14</v>
      </c>
      <c r="Q21" s="1008">
        <v>1.5699999999999999E-5</v>
      </c>
      <c r="R21" s="49">
        <v>227426</v>
      </c>
      <c r="S21" s="1009">
        <v>0.72060000000000002</v>
      </c>
      <c r="T21" s="1009">
        <v>2.63E-2</v>
      </c>
      <c r="U21" s="1009">
        <v>3.3999999999999998E-3</v>
      </c>
      <c r="V21" s="1001">
        <v>1.55E-14</v>
      </c>
      <c r="W21" s="1001">
        <v>1.7399999999999999E-5</v>
      </c>
      <c r="X21" s="1005"/>
      <c r="Y21" s="1002">
        <v>180113</v>
      </c>
      <c r="Z21" s="1006">
        <v>0.73847799999999997</v>
      </c>
      <c r="AA21" s="1006">
        <v>2.0943E-2</v>
      </c>
      <c r="AB21" s="1006">
        <v>3.9880000000000002E-3</v>
      </c>
      <c r="AC21" s="1007">
        <v>1.5099999999999999E-7</v>
      </c>
      <c r="AD21" s="49">
        <v>157516</v>
      </c>
      <c r="AE21" s="1009">
        <v>0.72591000000000006</v>
      </c>
      <c r="AF21" s="1009">
        <v>2.2919999999999999E-2</v>
      </c>
      <c r="AG21" s="1009">
        <v>4.1900000000000001E-3</v>
      </c>
      <c r="AH21" s="1001">
        <v>4.6299999999999998E-8</v>
      </c>
      <c r="AI21" s="1005"/>
      <c r="AJ21" s="49">
        <v>62824</v>
      </c>
      <c r="AK21" s="1009">
        <v>0.71260000000000001</v>
      </c>
      <c r="AL21" s="1009">
        <v>3.5099999999999999E-2</v>
      </c>
      <c r="AM21" s="1009">
        <v>6.2550000000000001E-3</v>
      </c>
      <c r="AN21" s="1001">
        <v>2.0199999999999999E-8</v>
      </c>
      <c r="AO21" s="1001">
        <v>4.0349999999999997E-2</v>
      </c>
      <c r="AP21" s="1009"/>
      <c r="AQ21" s="1005"/>
      <c r="AR21" s="1002">
        <v>7086</v>
      </c>
      <c r="AS21" s="1006">
        <v>0.68118999999999996</v>
      </c>
      <c r="AT21" s="1006">
        <v>1.4999999999999999E-2</v>
      </c>
      <c r="AU21" s="1006">
        <v>1.9796500000000002E-2</v>
      </c>
      <c r="AV21" s="1007">
        <v>0.44862400000000002</v>
      </c>
      <c r="AW21" s="1003">
        <v>0.99964799999999998</v>
      </c>
    </row>
    <row r="22" spans="1:49" x14ac:dyDescent="0.25">
      <c r="A22" s="49" t="s">
        <v>900</v>
      </c>
      <c r="B22" s="1301"/>
      <c r="C22" s="49" t="s">
        <v>215</v>
      </c>
      <c r="D22" s="49">
        <v>3</v>
      </c>
      <c r="E22" s="49">
        <v>129293256</v>
      </c>
      <c r="F22" s="1303"/>
      <c r="G22" s="758" t="s">
        <v>217</v>
      </c>
      <c r="H22" s="1233"/>
      <c r="I22" s="49" t="s">
        <v>23</v>
      </c>
      <c r="J22" s="49" t="s">
        <v>17</v>
      </c>
      <c r="K22" s="1005"/>
      <c r="L22" s="1002">
        <v>250069</v>
      </c>
      <c r="M22" s="1006">
        <v>0.60229999999999995</v>
      </c>
      <c r="N22" s="1006">
        <v>1.7999999999999999E-2</v>
      </c>
      <c r="O22" s="1006">
        <v>3.0000000000000001E-3</v>
      </c>
      <c r="P22" s="1007">
        <v>1.9000000000000001E-9</v>
      </c>
      <c r="Q22" s="1008">
        <v>4.9819999999999997E-4</v>
      </c>
      <c r="R22" s="49">
        <v>227454</v>
      </c>
      <c r="S22" s="1009">
        <v>0.6179</v>
      </c>
      <c r="T22" s="1009">
        <v>2.1299999999999999E-2</v>
      </c>
      <c r="U22" s="1009">
        <v>3.2000000000000002E-3</v>
      </c>
      <c r="V22" s="1001">
        <v>1.44E-11</v>
      </c>
      <c r="W22" s="1001">
        <v>1.6200000000000001E-4</v>
      </c>
      <c r="X22" s="1005"/>
      <c r="Y22" s="1002">
        <v>180131</v>
      </c>
      <c r="Z22" s="1006">
        <v>0.59735700000000003</v>
      </c>
      <c r="AA22" s="1006">
        <v>1.4718E-2</v>
      </c>
      <c r="AB22" s="1006">
        <v>3.5690000000000001E-3</v>
      </c>
      <c r="AC22" s="1007">
        <v>3.7200000000000003E-5</v>
      </c>
      <c r="AD22" s="49">
        <v>157516</v>
      </c>
      <c r="AE22" s="1009">
        <v>0.61968999999999996</v>
      </c>
      <c r="AF22" s="1009">
        <v>1.9019999999999999E-2</v>
      </c>
      <c r="AG22" s="1009">
        <v>3.8300000000000001E-3</v>
      </c>
      <c r="AH22" s="1001">
        <v>6.7700000000000004E-7</v>
      </c>
      <c r="AI22" s="1005"/>
      <c r="AJ22" s="49">
        <v>62852</v>
      </c>
      <c r="AK22" s="1009">
        <v>0.61550000000000005</v>
      </c>
      <c r="AL22" s="1009">
        <v>2.7650000000000001E-2</v>
      </c>
      <c r="AM22" s="1009">
        <v>5.8060000000000004E-3</v>
      </c>
      <c r="AN22" s="1001">
        <v>1.9099999999999999E-6</v>
      </c>
      <c r="AO22" s="1001">
        <v>0.95620000000000005</v>
      </c>
      <c r="AP22" s="1009"/>
      <c r="AQ22" s="1005"/>
      <c r="AR22" s="1002">
        <v>7086</v>
      </c>
      <c r="AS22" s="1006">
        <v>0.60001000000000004</v>
      </c>
      <c r="AT22" s="1006">
        <v>8.9999999999999993E-3</v>
      </c>
      <c r="AU22" s="1006">
        <v>1.96524E-2</v>
      </c>
      <c r="AV22" s="1007">
        <v>0.64698100000000003</v>
      </c>
      <c r="AW22" s="1003">
        <v>0.99819100000000005</v>
      </c>
    </row>
    <row r="23" spans="1:49" x14ac:dyDescent="0.25">
      <c r="A23" s="49" t="s">
        <v>900</v>
      </c>
      <c r="B23" s="1301">
        <v>14</v>
      </c>
      <c r="C23" s="49" t="s">
        <v>65</v>
      </c>
      <c r="D23" s="49">
        <v>4</v>
      </c>
      <c r="E23" s="49">
        <v>89625427</v>
      </c>
      <c r="F23" s="954" t="s">
        <v>918</v>
      </c>
      <c r="G23" s="758" t="s">
        <v>66</v>
      </c>
      <c r="H23" s="1233" t="s">
        <v>67</v>
      </c>
      <c r="I23" s="49" t="s">
        <v>24</v>
      </c>
      <c r="J23" s="49" t="s">
        <v>17</v>
      </c>
      <c r="K23" s="1005"/>
      <c r="L23" s="1002">
        <v>223877</v>
      </c>
      <c r="M23" s="1006">
        <v>0.83730000000000004</v>
      </c>
      <c r="N23" s="1006">
        <v>3.4000000000000002E-2</v>
      </c>
      <c r="O23" s="1006">
        <v>4.1000000000000003E-3</v>
      </c>
      <c r="P23" s="1007">
        <v>2.11E-16</v>
      </c>
      <c r="Q23" s="1008">
        <v>4.0799999999999999E-6</v>
      </c>
      <c r="R23" s="49">
        <v>201262</v>
      </c>
      <c r="S23" s="1009">
        <v>0.83989999999999998</v>
      </c>
      <c r="T23" s="1009">
        <v>3.44E-2</v>
      </c>
      <c r="U23" s="1009">
        <v>4.4000000000000003E-3</v>
      </c>
      <c r="V23" s="1001">
        <v>5.2600000000000003E-15</v>
      </c>
      <c r="W23" s="1001">
        <v>1.6399999999999999E-5</v>
      </c>
      <c r="X23" s="1005"/>
      <c r="Y23" s="1002">
        <v>153957</v>
      </c>
      <c r="Z23" s="1006">
        <v>0.83862400000000004</v>
      </c>
      <c r="AA23" s="1006">
        <v>3.3873E-2</v>
      </c>
      <c r="AB23" s="1006">
        <v>5.045E-3</v>
      </c>
      <c r="AC23" s="1007">
        <v>1.8900000000000001E-11</v>
      </c>
      <c r="AD23" s="49">
        <v>131342</v>
      </c>
      <c r="AE23" s="1009">
        <v>0.84302999999999995</v>
      </c>
      <c r="AF23" s="1009">
        <v>3.4419999999999999E-2</v>
      </c>
      <c r="AG23" s="1009">
        <v>5.5300000000000002E-3</v>
      </c>
      <c r="AH23" s="1001">
        <v>4.8699999999999997E-10</v>
      </c>
      <c r="AI23" s="1005"/>
      <c r="AJ23" s="49">
        <v>62834</v>
      </c>
      <c r="AK23" s="1009">
        <v>0.83760000000000001</v>
      </c>
      <c r="AL23" s="1009">
        <v>3.7179999999999998E-2</v>
      </c>
      <c r="AM23" s="1009">
        <v>7.633E-3</v>
      </c>
      <c r="AN23" s="1001">
        <v>1.11E-6</v>
      </c>
      <c r="AO23" s="1001">
        <v>0.49730000000000002</v>
      </c>
      <c r="AP23" s="1009"/>
      <c r="AQ23" s="1005"/>
      <c r="AR23" s="1002">
        <v>7086</v>
      </c>
      <c r="AS23" s="1006">
        <v>0.80505000000000004</v>
      </c>
      <c r="AT23" s="1006">
        <v>8.0000000000000002E-3</v>
      </c>
      <c r="AU23" s="1006">
        <v>2.32202E-2</v>
      </c>
      <c r="AV23" s="1007">
        <v>0.73044900000000001</v>
      </c>
      <c r="AW23" s="1003">
        <v>0.99799199999999999</v>
      </c>
    </row>
    <row r="24" spans="1:49" x14ac:dyDescent="0.25">
      <c r="A24" s="49" t="s">
        <v>900</v>
      </c>
      <c r="B24" s="1301"/>
      <c r="C24" s="49" t="s">
        <v>69</v>
      </c>
      <c r="D24" s="49">
        <v>4</v>
      </c>
      <c r="E24" s="49">
        <v>89668859</v>
      </c>
      <c r="F24" s="954" t="s">
        <v>919</v>
      </c>
      <c r="G24" s="758" t="s">
        <v>70</v>
      </c>
      <c r="H24" s="1233"/>
      <c r="I24" s="49" t="s">
        <v>17</v>
      </c>
      <c r="J24" s="49" t="s">
        <v>23</v>
      </c>
      <c r="K24" s="1005"/>
      <c r="L24" s="1002">
        <v>242970</v>
      </c>
      <c r="M24" s="1006">
        <v>0.81479999999999997</v>
      </c>
      <c r="N24" s="1006">
        <v>2.63E-2</v>
      </c>
      <c r="O24" s="1006">
        <v>3.8E-3</v>
      </c>
      <c r="P24" s="1007">
        <v>5.8699999999999998E-12</v>
      </c>
      <c r="Q24" s="1008">
        <v>9.5600000000000006E-5</v>
      </c>
      <c r="R24" s="49">
        <v>220355</v>
      </c>
      <c r="S24" s="1009">
        <v>0.82969999999999999</v>
      </c>
      <c r="T24" s="1009">
        <v>2.9399999999999999E-2</v>
      </c>
      <c r="U24" s="1009">
        <v>4.1000000000000003E-3</v>
      </c>
      <c r="V24" s="1001">
        <v>9.01E-13</v>
      </c>
      <c r="W24" s="1001">
        <v>5.4400000000000001E-5</v>
      </c>
      <c r="X24" s="1005"/>
      <c r="Y24" s="1002">
        <v>180131</v>
      </c>
      <c r="Z24" s="1006">
        <v>0.81135299999999999</v>
      </c>
      <c r="AA24" s="1006">
        <v>2.4584999999999999E-2</v>
      </c>
      <c r="AB24" s="1006">
        <v>4.4609999999999997E-3</v>
      </c>
      <c r="AC24" s="1007">
        <v>3.5600000000000001E-8</v>
      </c>
      <c r="AD24" s="49">
        <v>157516</v>
      </c>
      <c r="AE24" s="1009">
        <v>0.83216000000000001</v>
      </c>
      <c r="AF24" s="1009">
        <v>2.862E-2</v>
      </c>
      <c r="AG24" s="1009">
        <v>4.9399999999999999E-3</v>
      </c>
      <c r="AH24" s="1001">
        <v>6.6700000000000003E-9</v>
      </c>
      <c r="AI24" s="1005"/>
      <c r="AJ24" s="49">
        <v>62839</v>
      </c>
      <c r="AK24" s="1009">
        <v>0.82430000000000003</v>
      </c>
      <c r="AL24" s="1009">
        <v>3.1050000000000001E-2</v>
      </c>
      <c r="AM24" s="1009">
        <v>7.4099999999999999E-3</v>
      </c>
      <c r="AN24" s="1001">
        <v>2.7900000000000001E-5</v>
      </c>
      <c r="AO24" s="1001">
        <v>2.5020000000000001E-2</v>
      </c>
      <c r="AP24" s="1009"/>
      <c r="AQ24" s="1005"/>
      <c r="AR24" s="1002">
        <v>7086</v>
      </c>
      <c r="AS24" s="1006">
        <v>0.79269000000000001</v>
      </c>
      <c r="AT24" s="1006">
        <v>0</v>
      </c>
      <c r="AU24" s="1006">
        <v>0</v>
      </c>
      <c r="AV24" s="1007">
        <v>0.99055300000000002</v>
      </c>
      <c r="AW24" s="1003">
        <v>0.99926300000000001</v>
      </c>
    </row>
    <row r="25" spans="1:49" x14ac:dyDescent="0.25">
      <c r="A25" s="49" t="s">
        <v>900</v>
      </c>
      <c r="B25" s="953">
        <v>15</v>
      </c>
      <c r="C25" s="49" t="s">
        <v>72</v>
      </c>
      <c r="D25" s="49">
        <v>4</v>
      </c>
      <c r="E25" s="49">
        <v>120528327</v>
      </c>
      <c r="F25" s="954" t="s">
        <v>73</v>
      </c>
      <c r="G25" s="758" t="s">
        <v>74</v>
      </c>
      <c r="H25" s="758" t="s">
        <v>1</v>
      </c>
      <c r="I25" s="49" t="s">
        <v>24</v>
      </c>
      <c r="J25" s="49" t="s">
        <v>16</v>
      </c>
      <c r="K25" s="1005"/>
      <c r="L25" s="1002">
        <v>242805</v>
      </c>
      <c r="M25" s="1006">
        <v>0.18779999999999999</v>
      </c>
      <c r="N25" s="1006">
        <v>2.1999999999999999E-2</v>
      </c>
      <c r="O25" s="1006">
        <v>3.8E-3</v>
      </c>
      <c r="P25" s="1007">
        <v>5.21E-9</v>
      </c>
      <c r="Q25" s="1008">
        <v>5.1836E-3</v>
      </c>
      <c r="R25" s="49">
        <v>220190</v>
      </c>
      <c r="S25" s="1009">
        <v>0.18479999999999999</v>
      </c>
      <c r="T25" s="1009">
        <v>2.3199999999999998E-2</v>
      </c>
      <c r="U25" s="1009">
        <v>4.0000000000000001E-3</v>
      </c>
      <c r="V25" s="1001">
        <v>5.1600000000000004E-9</v>
      </c>
      <c r="W25" s="1001">
        <v>2.85335E-2</v>
      </c>
      <c r="X25" s="1005"/>
      <c r="Y25" s="1002">
        <v>172867</v>
      </c>
      <c r="Z25" s="1006">
        <v>0.18970699999999999</v>
      </c>
      <c r="AA25" s="1006">
        <v>2.283E-2</v>
      </c>
      <c r="AB25" s="1006">
        <v>4.4559999999999999E-3</v>
      </c>
      <c r="AC25" s="1007">
        <v>2.9900000000000002E-7</v>
      </c>
      <c r="AD25" s="49">
        <v>150252</v>
      </c>
      <c r="AE25" s="1009">
        <v>0.18548000000000001</v>
      </c>
      <c r="AF25" s="1009">
        <v>2.4750000000000001E-2</v>
      </c>
      <c r="AG25" s="1009">
        <v>4.81E-3</v>
      </c>
      <c r="AH25" s="1001">
        <v>2.67E-7</v>
      </c>
      <c r="AI25" s="1005"/>
      <c r="AJ25" s="49">
        <v>62852</v>
      </c>
      <c r="AK25" s="1009">
        <v>0.1804</v>
      </c>
      <c r="AL25" s="1009">
        <v>2.0049999999999998E-2</v>
      </c>
      <c r="AM25" s="1009">
        <v>7.3150000000000003E-3</v>
      </c>
      <c r="AN25" s="1001">
        <v>6.117E-3</v>
      </c>
      <c r="AO25" s="1001">
        <v>0.69630000000000003</v>
      </c>
      <c r="AP25" s="1009"/>
      <c r="AQ25" s="1005"/>
      <c r="AR25" s="1002">
        <v>7086</v>
      </c>
      <c r="AS25" s="1006">
        <v>0.21446000000000001</v>
      </c>
      <c r="AT25" s="1006">
        <v>1.7000000000000001E-2</v>
      </c>
      <c r="AU25" s="1006">
        <v>2.4147399999999999E-2</v>
      </c>
      <c r="AV25" s="1007">
        <v>0.48142699999999999</v>
      </c>
      <c r="AW25" s="1003">
        <v>0.99999700000000002</v>
      </c>
    </row>
    <row r="26" spans="1:49" x14ac:dyDescent="0.25">
      <c r="A26" s="49" t="s">
        <v>900</v>
      </c>
      <c r="B26" s="953">
        <v>16</v>
      </c>
      <c r="C26" s="49" t="s">
        <v>76</v>
      </c>
      <c r="D26" s="49">
        <v>5</v>
      </c>
      <c r="E26" s="49">
        <v>176516631</v>
      </c>
      <c r="F26" s="954" t="s">
        <v>77</v>
      </c>
      <c r="G26" s="758" t="s">
        <v>78</v>
      </c>
      <c r="H26" s="943" t="s">
        <v>79</v>
      </c>
      <c r="I26" s="49" t="s">
        <v>16</v>
      </c>
      <c r="J26" s="49" t="s">
        <v>24</v>
      </c>
      <c r="K26" s="1005"/>
      <c r="L26" s="1002">
        <v>245655</v>
      </c>
      <c r="M26" s="1006">
        <v>0.2344</v>
      </c>
      <c r="N26" s="1006">
        <v>1.9800000000000002E-2</v>
      </c>
      <c r="O26" s="1006">
        <v>3.5000000000000001E-3</v>
      </c>
      <c r="P26" s="1007">
        <v>1.14E-8</v>
      </c>
      <c r="Q26" s="1008">
        <v>0.20593120000000001</v>
      </c>
      <c r="R26" s="49">
        <v>227321</v>
      </c>
      <c r="S26" s="1009">
        <v>0.23780000000000001</v>
      </c>
      <c r="T26" s="1009">
        <v>1.8800000000000001E-2</v>
      </c>
      <c r="U26" s="1009">
        <v>3.5999999999999999E-3</v>
      </c>
      <c r="V26" s="1001">
        <v>1.36E-7</v>
      </c>
      <c r="W26" s="1001">
        <v>0.1842374</v>
      </c>
      <c r="X26" s="1005"/>
      <c r="Y26" s="1002">
        <v>175850</v>
      </c>
      <c r="Z26" s="1006">
        <v>0.22858300000000001</v>
      </c>
      <c r="AA26" s="1006">
        <v>1.9091E-2</v>
      </c>
      <c r="AB26" s="1006">
        <v>4.1650000000000003E-3</v>
      </c>
      <c r="AC26" s="1007">
        <v>4.5600000000000004E-6</v>
      </c>
      <c r="AD26" s="49">
        <v>157516</v>
      </c>
      <c r="AE26" s="1009">
        <v>0.23326</v>
      </c>
      <c r="AF26" s="1009">
        <v>1.7520000000000001E-2</v>
      </c>
      <c r="AG26" s="1009">
        <v>4.3299999999999996E-3</v>
      </c>
      <c r="AH26" s="1001">
        <v>5.2299999999999997E-5</v>
      </c>
      <c r="AI26" s="1005"/>
      <c r="AJ26" s="49">
        <v>62719</v>
      </c>
      <c r="AK26" s="1009">
        <v>0.24840000000000001</v>
      </c>
      <c r="AL26" s="1009">
        <v>2.0570000000000001E-2</v>
      </c>
      <c r="AM26" s="1009">
        <v>6.535E-3</v>
      </c>
      <c r="AN26" s="1001">
        <v>1.6479999999999999E-3</v>
      </c>
      <c r="AO26" s="1001">
        <v>0.79849999999999999</v>
      </c>
      <c r="AP26" s="1009"/>
      <c r="AQ26" s="1005"/>
      <c r="AR26" s="1002">
        <v>7086</v>
      </c>
      <c r="AS26" s="1006">
        <v>0.23629</v>
      </c>
      <c r="AT26" s="1006">
        <v>3.1E-2</v>
      </c>
      <c r="AU26" s="1006">
        <v>2.2136699999999999E-2</v>
      </c>
      <c r="AV26" s="1007">
        <v>0.16139700000000001</v>
      </c>
      <c r="AW26" s="1003">
        <v>0.99906600000000001</v>
      </c>
    </row>
    <row r="27" spans="1:49" x14ac:dyDescent="0.25">
      <c r="A27" s="49" t="s">
        <v>900</v>
      </c>
      <c r="B27" s="953">
        <v>17</v>
      </c>
      <c r="C27" s="49" t="s">
        <v>920</v>
      </c>
      <c r="D27" s="49">
        <v>5</v>
      </c>
      <c r="E27" s="49">
        <v>180017643</v>
      </c>
      <c r="F27" s="954" t="s">
        <v>921</v>
      </c>
      <c r="G27" s="758" t="s">
        <v>922</v>
      </c>
      <c r="I27" s="49" t="s">
        <v>23</v>
      </c>
      <c r="J27" s="49" t="s">
        <v>17</v>
      </c>
      <c r="K27" s="1005"/>
      <c r="L27" s="1002">
        <v>110603</v>
      </c>
      <c r="M27" s="1006">
        <v>8.0000000000000004E-4</v>
      </c>
      <c r="N27" s="1006">
        <v>0.1019</v>
      </c>
      <c r="O27" s="1006">
        <v>7.5899999999999995E-2</v>
      </c>
      <c r="P27" s="1007">
        <v>0.1797</v>
      </c>
      <c r="Q27" s="1008">
        <v>1.6786499999999999E-2</v>
      </c>
      <c r="R27" s="49">
        <v>96706</v>
      </c>
      <c r="S27" s="1009">
        <v>8.9999999999999998E-4</v>
      </c>
      <c r="T27" s="1009">
        <v>9.1399999999999995E-2</v>
      </c>
      <c r="U27" s="1009">
        <v>7.7299999999999994E-2</v>
      </c>
      <c r="V27" s="1001">
        <v>0.23719999999999999</v>
      </c>
      <c r="W27" s="1001">
        <v>7.6122999999999998E-3</v>
      </c>
      <c r="X27" s="1005"/>
      <c r="Y27" s="1002">
        <v>110603</v>
      </c>
      <c r="Z27" s="1006">
        <v>8.0800000000000002E-4</v>
      </c>
      <c r="AA27" s="1006">
        <v>0.10188800000000001</v>
      </c>
      <c r="AB27" s="1006">
        <v>7.5942999999999997E-2</v>
      </c>
      <c r="AC27" s="1007">
        <v>0.18</v>
      </c>
      <c r="AD27" s="49">
        <v>96706</v>
      </c>
      <c r="AE27" s="1009">
        <v>8.8999999999999995E-4</v>
      </c>
      <c r="AF27" s="1009">
        <v>9.1350000000000001E-2</v>
      </c>
      <c r="AG27" s="1009">
        <v>7.7289999999999998E-2</v>
      </c>
      <c r="AH27" s="1001">
        <v>0.23699999999999999</v>
      </c>
      <c r="AI27" s="1005"/>
      <c r="AK27" s="1009"/>
      <c r="AL27" s="1009"/>
      <c r="AM27" s="1009"/>
      <c r="AN27" s="1001"/>
      <c r="AO27" s="1001"/>
      <c r="AP27" s="1009"/>
      <c r="AQ27" s="1005"/>
      <c r="AR27" s="1002"/>
      <c r="AS27" s="1006"/>
      <c r="AT27" s="1006"/>
      <c r="AU27" s="1006"/>
      <c r="AV27" s="1007"/>
      <c r="AW27" s="1003"/>
    </row>
    <row r="28" spans="1:49" x14ac:dyDescent="0.25">
      <c r="A28" s="49" t="s">
        <v>900</v>
      </c>
      <c r="B28" s="953">
        <v>18</v>
      </c>
      <c r="C28" s="49" t="s">
        <v>81</v>
      </c>
      <c r="D28" s="49">
        <v>6</v>
      </c>
      <c r="E28" s="49">
        <v>7211818</v>
      </c>
      <c r="F28" s="954" t="s">
        <v>82</v>
      </c>
      <c r="G28" s="758" t="s">
        <v>83</v>
      </c>
      <c r="H28" s="943" t="s">
        <v>84</v>
      </c>
      <c r="I28" s="49" t="s">
        <v>24</v>
      </c>
      <c r="J28" s="49" t="s">
        <v>16</v>
      </c>
      <c r="K28" s="1005"/>
      <c r="L28" s="1002">
        <v>224743</v>
      </c>
      <c r="M28" s="1006">
        <v>0.57240000000000002</v>
      </c>
      <c r="N28" s="1006">
        <v>1.4E-2</v>
      </c>
      <c r="O28" s="1006">
        <v>3.0999999999999999E-3</v>
      </c>
      <c r="P28" s="1007">
        <v>5.3000000000000001E-6</v>
      </c>
      <c r="Q28" s="1008">
        <v>0.14740420000000001</v>
      </c>
      <c r="R28" s="49">
        <v>205635</v>
      </c>
      <c r="S28" s="1009">
        <v>0.5766</v>
      </c>
      <c r="T28" s="1009">
        <v>1.3100000000000001E-2</v>
      </c>
      <c r="U28" s="1009">
        <v>3.2000000000000002E-3</v>
      </c>
      <c r="V28" s="1001">
        <v>5.1799999999999999E-5</v>
      </c>
      <c r="W28" s="1001">
        <v>8.2309400000000005E-2</v>
      </c>
      <c r="X28" s="1005"/>
      <c r="Y28" s="1002">
        <v>154852</v>
      </c>
      <c r="Z28" s="1006">
        <v>0.57258600000000004</v>
      </c>
      <c r="AA28" s="1006">
        <v>8.7130000000000003E-3</v>
      </c>
      <c r="AB28" s="1006">
        <v>3.7309999999999999E-3</v>
      </c>
      <c r="AC28" s="1007">
        <v>1.95E-2</v>
      </c>
      <c r="AD28" s="49">
        <v>135744</v>
      </c>
      <c r="AE28" s="1009">
        <v>0.57916000000000001</v>
      </c>
      <c r="AF28" s="1009">
        <v>6.4400000000000004E-3</v>
      </c>
      <c r="AG28" s="1009">
        <v>3.9899999999999996E-3</v>
      </c>
      <c r="AH28" s="1001">
        <v>0.106</v>
      </c>
      <c r="AI28" s="1005"/>
      <c r="AJ28" s="49">
        <v>62805</v>
      </c>
      <c r="AK28" s="1009">
        <v>0.57230000000000003</v>
      </c>
      <c r="AL28" s="1009">
        <v>2.649E-2</v>
      </c>
      <c r="AM28" s="1009">
        <v>5.7029999999999997E-3</v>
      </c>
      <c r="AN28" s="1001">
        <v>3.4000000000000001E-6</v>
      </c>
      <c r="AO28" s="1001">
        <v>0.40920000000000001</v>
      </c>
      <c r="AP28" s="1009"/>
      <c r="AQ28" s="1005"/>
      <c r="AR28" s="1002">
        <v>7086</v>
      </c>
      <c r="AS28" s="1006">
        <v>0.56674000000000002</v>
      </c>
      <c r="AT28" s="1006">
        <v>1.4E-2</v>
      </c>
      <c r="AU28" s="1006">
        <v>1.9748700000000001E-2</v>
      </c>
      <c r="AV28" s="1007">
        <v>0.478383</v>
      </c>
      <c r="AW28" s="1003">
        <v>0.99970300000000001</v>
      </c>
    </row>
    <row r="29" spans="1:49" x14ac:dyDescent="0.25">
      <c r="A29" s="49" t="s">
        <v>900</v>
      </c>
      <c r="B29" s="953">
        <v>19</v>
      </c>
      <c r="C29" s="49" t="s">
        <v>86</v>
      </c>
      <c r="D29" s="49">
        <v>6</v>
      </c>
      <c r="E29" s="49">
        <v>26108117</v>
      </c>
      <c r="F29" s="954" t="s">
        <v>87</v>
      </c>
      <c r="G29" s="758" t="s">
        <v>88</v>
      </c>
      <c r="I29" s="49" t="s">
        <v>23</v>
      </c>
      <c r="J29" s="49" t="s">
        <v>17</v>
      </c>
      <c r="K29" s="1005"/>
      <c r="L29" s="1002">
        <v>113040</v>
      </c>
      <c r="M29" s="1006">
        <v>1.2999999999999999E-3</v>
      </c>
      <c r="N29" s="1006">
        <v>0.20610000000000001</v>
      </c>
      <c r="O29" s="1006">
        <v>6.0199999999999997E-2</v>
      </c>
      <c r="P29" s="1007">
        <v>6.1799999999999995E-4</v>
      </c>
      <c r="Q29" s="1008">
        <v>0.62699170000000004</v>
      </c>
      <c r="R29" s="49">
        <v>98760</v>
      </c>
      <c r="S29" s="1009">
        <v>1.4E-3</v>
      </c>
      <c r="T29" s="1009">
        <v>0.1893</v>
      </c>
      <c r="U29" s="1009">
        <v>6.1199999999999997E-2</v>
      </c>
      <c r="V29" s="1001">
        <v>1.9780000000000002E-3</v>
      </c>
      <c r="W29" s="1001">
        <v>0.36417680000000002</v>
      </c>
      <c r="X29" s="1005"/>
      <c r="Y29" s="1002">
        <v>113040</v>
      </c>
      <c r="Z29" s="1006">
        <v>1.284E-3</v>
      </c>
      <c r="AA29" s="1006">
        <v>0.20610800000000001</v>
      </c>
      <c r="AB29" s="1006">
        <v>6.0201999999999999E-2</v>
      </c>
      <c r="AC29" s="1007">
        <v>6.1799999999999995E-4</v>
      </c>
      <c r="AD29" s="49">
        <v>98760</v>
      </c>
      <c r="AE29" s="1009">
        <v>1.42E-3</v>
      </c>
      <c r="AF29" s="1009">
        <v>0.18931999999999999</v>
      </c>
      <c r="AG29" s="1009">
        <v>6.1199999999999997E-2</v>
      </c>
      <c r="AH29" s="1001">
        <v>1.98E-3</v>
      </c>
      <c r="AI29" s="1005"/>
      <c r="AJ29" s="49">
        <v>62926</v>
      </c>
      <c r="AK29" s="1009">
        <v>1.0000000000000001E-5</v>
      </c>
      <c r="AL29" s="1009"/>
      <c r="AM29" s="1009"/>
      <c r="AN29" s="1001"/>
      <c r="AO29" s="1001"/>
      <c r="AP29" s="1009">
        <v>0.38246999999999998</v>
      </c>
      <c r="AQ29" s="1005"/>
      <c r="AR29" s="1002"/>
      <c r="AS29" s="1006"/>
      <c r="AT29" s="1006"/>
      <c r="AU29" s="1006"/>
      <c r="AV29" s="1007"/>
      <c r="AW29" s="1003"/>
    </row>
    <row r="30" spans="1:49" x14ac:dyDescent="0.25">
      <c r="A30" s="49" t="s">
        <v>900</v>
      </c>
      <c r="B30" s="953">
        <v>20</v>
      </c>
      <c r="C30" s="49" t="s">
        <v>90</v>
      </c>
      <c r="D30" s="49">
        <v>6</v>
      </c>
      <c r="E30" s="49">
        <v>34827085</v>
      </c>
      <c r="F30" s="954" t="s">
        <v>91</v>
      </c>
      <c r="G30" s="758" t="s">
        <v>92</v>
      </c>
      <c r="H30" s="943" t="s">
        <v>93</v>
      </c>
      <c r="I30" s="49" t="s">
        <v>16</v>
      </c>
      <c r="J30" s="49" t="s">
        <v>23</v>
      </c>
      <c r="K30" s="1005"/>
      <c r="L30" s="1002">
        <v>141665</v>
      </c>
      <c r="M30" s="1006">
        <v>0.84740000000000004</v>
      </c>
      <c r="N30" s="1006">
        <v>2.5100000000000001E-2</v>
      </c>
      <c r="O30" s="1006">
        <v>5.4000000000000003E-3</v>
      </c>
      <c r="P30" s="1007">
        <v>3.2499999999999998E-6</v>
      </c>
      <c r="Q30" s="1008">
        <v>0.27479439999999999</v>
      </c>
      <c r="R30" s="49">
        <v>132209</v>
      </c>
      <c r="S30" s="1009">
        <v>0.84260000000000002</v>
      </c>
      <c r="T30" s="1009">
        <v>2.3699999999999999E-2</v>
      </c>
      <c r="U30" s="1009">
        <v>5.4999999999999997E-3</v>
      </c>
      <c r="V30" s="1001">
        <v>1.56E-5</v>
      </c>
      <c r="W30" s="1001">
        <v>0.41233819999999999</v>
      </c>
      <c r="X30" s="1005"/>
      <c r="Y30" s="1002">
        <v>72412</v>
      </c>
      <c r="Z30" s="1006">
        <v>0.85444399999999998</v>
      </c>
      <c r="AA30" s="1006">
        <v>3.0487E-2</v>
      </c>
      <c r="AB30" s="1006">
        <v>7.7980000000000002E-3</v>
      </c>
      <c r="AC30" s="1007">
        <v>9.2499999999999999E-5</v>
      </c>
      <c r="AD30" s="49">
        <v>62956</v>
      </c>
      <c r="AE30" s="1009">
        <v>0.84453</v>
      </c>
      <c r="AF30" s="1009">
        <v>2.7859999999999999E-2</v>
      </c>
      <c r="AG30" s="1009">
        <v>8.09E-3</v>
      </c>
      <c r="AH30" s="1001">
        <v>5.71E-4</v>
      </c>
      <c r="AI30" s="1005"/>
      <c r="AJ30" s="49">
        <v>62167</v>
      </c>
      <c r="AK30" s="1009">
        <v>0.83889999999999998</v>
      </c>
      <c r="AL30" s="1009">
        <v>1.8620000000000001E-2</v>
      </c>
      <c r="AM30" s="1009">
        <v>7.7429999999999999E-3</v>
      </c>
      <c r="AN30" s="1001">
        <v>1.619E-2</v>
      </c>
      <c r="AO30" s="1001">
        <v>4.032E-3</v>
      </c>
      <c r="AP30" s="1009"/>
      <c r="AQ30" s="1005"/>
      <c r="AR30" s="1002">
        <v>7086</v>
      </c>
      <c r="AS30" s="1006">
        <v>0.86565999999999999</v>
      </c>
      <c r="AT30" s="1006">
        <v>3.9E-2</v>
      </c>
      <c r="AU30" s="1006">
        <v>2.7382699999999999E-2</v>
      </c>
      <c r="AV30" s="1007">
        <v>0.15437200000000001</v>
      </c>
      <c r="AW30" s="1003">
        <v>0.99997899999999995</v>
      </c>
    </row>
    <row r="31" spans="1:49" x14ac:dyDescent="0.25">
      <c r="A31" s="49" t="s">
        <v>900</v>
      </c>
      <c r="B31" s="1301">
        <v>21</v>
      </c>
      <c r="C31" s="49" t="s">
        <v>95</v>
      </c>
      <c r="D31" s="49">
        <v>6</v>
      </c>
      <c r="E31" s="49">
        <v>127476516</v>
      </c>
      <c r="F31" s="199" t="s">
        <v>923</v>
      </c>
      <c r="G31" s="758" t="s">
        <v>96</v>
      </c>
      <c r="H31" s="1233" t="s">
        <v>97</v>
      </c>
      <c r="I31" s="49" t="s">
        <v>16</v>
      </c>
      <c r="J31" s="49" t="s">
        <v>24</v>
      </c>
      <c r="K31" s="1005"/>
      <c r="L31" s="1002">
        <v>250034</v>
      </c>
      <c r="M31" s="1006">
        <v>0.54459999999999997</v>
      </c>
      <c r="N31" s="1006">
        <v>4.2299999999999997E-2</v>
      </c>
      <c r="O31" s="1006">
        <v>2.8999999999999998E-3</v>
      </c>
      <c r="P31" s="1007">
        <v>3.4378790000000003E-48</v>
      </c>
      <c r="Q31" s="1008">
        <v>7.7400000000000002E-9</v>
      </c>
      <c r="R31" s="49">
        <v>227419</v>
      </c>
      <c r="S31" s="1009">
        <v>0.54220000000000002</v>
      </c>
      <c r="T31" s="1009">
        <v>4.4600000000000001E-2</v>
      </c>
      <c r="U31" s="1009">
        <v>3.0999999999999999E-3</v>
      </c>
      <c r="V31" s="1001">
        <v>7.3419319999999997E-51</v>
      </c>
      <c r="W31" s="1001">
        <v>4.3700000000000001E-8</v>
      </c>
      <c r="X31" s="1005"/>
      <c r="Y31" s="1002">
        <v>180131</v>
      </c>
      <c r="Z31" s="1006">
        <v>0.54205700000000001</v>
      </c>
      <c r="AA31" s="1006">
        <v>3.4573E-2</v>
      </c>
      <c r="AB31" s="1006">
        <v>3.4889999999999999E-3</v>
      </c>
      <c r="AC31" s="1007">
        <v>3.8300000000000002E-23</v>
      </c>
      <c r="AD31" s="49">
        <v>157516</v>
      </c>
      <c r="AE31" s="1009">
        <v>0.53805999999999998</v>
      </c>
      <c r="AF31" s="1009">
        <v>3.6830000000000002E-2</v>
      </c>
      <c r="AG31" s="1009">
        <v>3.7399999999999998E-3</v>
      </c>
      <c r="AH31" s="1001">
        <v>7.7399999999999997E-23</v>
      </c>
      <c r="AI31" s="1005"/>
      <c r="AJ31" s="49">
        <v>62817</v>
      </c>
      <c r="AK31" s="1009">
        <v>0.54659999999999997</v>
      </c>
      <c r="AL31" s="1009">
        <v>6.132E-2</v>
      </c>
      <c r="AM31" s="1009">
        <v>5.679E-3</v>
      </c>
      <c r="AN31" s="1001">
        <v>3.7500000000000001E-27</v>
      </c>
      <c r="AO31" s="1001">
        <v>2.3529999999999999E-2</v>
      </c>
      <c r="AP31" s="1009"/>
      <c r="AQ31" s="1005"/>
      <c r="AR31" s="1002">
        <v>7086</v>
      </c>
      <c r="AS31" s="1006">
        <v>0.60168999999999995</v>
      </c>
      <c r="AT31" s="1006">
        <v>5.8999999999999997E-2</v>
      </c>
      <c r="AU31" s="1006">
        <v>1.9510799999999998E-2</v>
      </c>
      <c r="AV31" s="1007">
        <v>2.4948000000000001E-3</v>
      </c>
      <c r="AW31" s="1003">
        <v>0.99995800000000001</v>
      </c>
    </row>
    <row r="32" spans="1:49" x14ac:dyDescent="0.25">
      <c r="A32" s="49" t="s">
        <v>900</v>
      </c>
      <c r="B32" s="1301"/>
      <c r="C32" s="49" t="s">
        <v>99</v>
      </c>
      <c r="D32" s="49">
        <v>6</v>
      </c>
      <c r="E32" s="49">
        <v>127767954</v>
      </c>
      <c r="F32" s="1303" t="s">
        <v>924</v>
      </c>
      <c r="G32" s="758" t="s">
        <v>100</v>
      </c>
      <c r="H32" s="1233"/>
      <c r="I32" s="49" t="s">
        <v>16</v>
      </c>
      <c r="J32" s="49" t="s">
        <v>24</v>
      </c>
      <c r="K32" s="1005"/>
      <c r="L32" s="1002">
        <v>205203</v>
      </c>
      <c r="M32" s="1006">
        <v>9.9000000000000008E-3</v>
      </c>
      <c r="N32" s="1006">
        <v>0.1429</v>
      </c>
      <c r="O32" s="1006">
        <v>1.61E-2</v>
      </c>
      <c r="P32" s="1007">
        <v>5.8799999999999997E-19</v>
      </c>
      <c r="Q32" s="1008">
        <v>1.9819999999999999E-4</v>
      </c>
      <c r="R32" s="49">
        <v>188615</v>
      </c>
      <c r="S32" s="1009">
        <v>1.0500000000000001E-2</v>
      </c>
      <c r="T32" s="1009">
        <v>0.14430000000000001</v>
      </c>
      <c r="U32" s="1009">
        <v>1.6199999999999999E-2</v>
      </c>
      <c r="V32" s="1001">
        <v>5.0600000000000004E-19</v>
      </c>
      <c r="W32" s="1001">
        <v>1.3210000000000001E-4</v>
      </c>
      <c r="X32" s="1005"/>
      <c r="Y32" s="1002">
        <v>139056</v>
      </c>
      <c r="Z32" s="1006">
        <v>9.0930000000000004E-3</v>
      </c>
      <c r="AA32" s="1006">
        <v>0.14962300000000001</v>
      </c>
      <c r="AB32" s="1006">
        <v>2.0157999999999999E-2</v>
      </c>
      <c r="AC32" s="1007">
        <v>1.1499999999999999E-13</v>
      </c>
      <c r="AD32" s="49">
        <v>122468</v>
      </c>
      <c r="AE32" s="1009">
        <v>1.0059999999999999E-2</v>
      </c>
      <c r="AF32" s="1009">
        <v>0.15209</v>
      </c>
      <c r="AG32" s="1009">
        <v>2.0420000000000001E-2</v>
      </c>
      <c r="AH32" s="1001">
        <v>9.3800000000000002E-14</v>
      </c>
      <c r="AI32" s="1005"/>
      <c r="AJ32" s="49">
        <v>59061</v>
      </c>
      <c r="AK32" s="1009">
        <v>1.1350000000000001E-2</v>
      </c>
      <c r="AL32" s="1009">
        <v>0.1323</v>
      </c>
      <c r="AM32" s="1009">
        <v>2.726E-2</v>
      </c>
      <c r="AN32" s="1001">
        <v>1.2100000000000001E-6</v>
      </c>
      <c r="AO32" s="1001">
        <v>0.2319</v>
      </c>
      <c r="AP32" s="1009"/>
      <c r="AQ32" s="1005"/>
      <c r="AR32" s="1002">
        <v>7086</v>
      </c>
      <c r="AS32" s="1006">
        <v>7.6299999999999996E-3</v>
      </c>
      <c r="AT32" s="1006">
        <v>0.108</v>
      </c>
      <c r="AU32" s="1006">
        <v>0.12026290000000001</v>
      </c>
      <c r="AV32" s="1007">
        <v>0.369168</v>
      </c>
      <c r="AW32" s="1003">
        <v>0.98762099999999997</v>
      </c>
    </row>
    <row r="33" spans="1:49" x14ac:dyDescent="0.25">
      <c r="A33" s="49" t="s">
        <v>900</v>
      </c>
      <c r="B33" s="1301"/>
      <c r="C33" s="49" t="s">
        <v>925</v>
      </c>
      <c r="D33" s="49">
        <v>6</v>
      </c>
      <c r="E33" s="49">
        <v>127771452</v>
      </c>
      <c r="F33" s="1303"/>
      <c r="G33" s="758" t="s">
        <v>926</v>
      </c>
      <c r="H33" s="1233"/>
      <c r="I33" s="49" t="s">
        <v>24</v>
      </c>
      <c r="J33" s="49" t="s">
        <v>23</v>
      </c>
      <c r="K33" s="1005"/>
      <c r="L33" s="1002">
        <v>245521</v>
      </c>
      <c r="M33" s="1006">
        <v>0.59130000000000005</v>
      </c>
      <c r="N33" s="1006">
        <v>8.3999999999999995E-3</v>
      </c>
      <c r="O33" s="1006">
        <v>3.0000000000000001E-3</v>
      </c>
      <c r="P33" s="1007">
        <v>4.9379999999999997E-3</v>
      </c>
      <c r="Q33" s="1008">
        <v>0.90699030000000003</v>
      </c>
      <c r="R33" s="49">
        <v>227205</v>
      </c>
      <c r="S33" s="1009">
        <v>0.60199999999999998</v>
      </c>
      <c r="T33" s="1009">
        <v>8.8000000000000005E-3</v>
      </c>
      <c r="U33" s="1009">
        <v>3.0999999999999999E-3</v>
      </c>
      <c r="V33" s="1001">
        <v>4.3210000000000002E-3</v>
      </c>
      <c r="W33" s="1001">
        <v>0.89201649999999999</v>
      </c>
      <c r="X33" s="1005"/>
      <c r="Y33" s="1002">
        <v>175832</v>
      </c>
      <c r="Z33" s="1006">
        <v>0.58416000000000001</v>
      </c>
      <c r="AA33" s="1006">
        <v>1.2891E-2</v>
      </c>
      <c r="AB33" s="1006">
        <v>3.5630000000000002E-3</v>
      </c>
      <c r="AC33" s="1007">
        <v>2.9700000000000001E-4</v>
      </c>
      <c r="AD33" s="49">
        <v>157516</v>
      </c>
      <c r="AE33" s="1009">
        <v>0.59901000000000004</v>
      </c>
      <c r="AF33" s="1009">
        <v>1.396E-2</v>
      </c>
      <c r="AG33" s="1009">
        <v>3.7399999999999998E-3</v>
      </c>
      <c r="AH33" s="1001">
        <v>1.93E-4</v>
      </c>
      <c r="AI33" s="1005"/>
      <c r="AJ33" s="49">
        <v>62603</v>
      </c>
      <c r="AK33" s="1009">
        <v>0.60980000000000001</v>
      </c>
      <c r="AL33" s="1009">
        <v>-5.7390000000000002E-3</v>
      </c>
      <c r="AM33" s="1009">
        <v>5.7829999999999999E-3</v>
      </c>
      <c r="AN33" s="1001">
        <v>0.32100000000000001</v>
      </c>
      <c r="AO33" s="1001">
        <v>0.79859999999999998</v>
      </c>
      <c r="AP33" s="1009"/>
      <c r="AQ33" s="1005"/>
      <c r="AR33" s="1002">
        <v>7086</v>
      </c>
      <c r="AS33" s="1006">
        <v>0.59657000000000004</v>
      </c>
      <c r="AT33" s="1006">
        <v>3.5000000000000003E-2</v>
      </c>
      <c r="AU33" s="1006">
        <v>1.9270900000000001E-2</v>
      </c>
      <c r="AV33" s="1007">
        <v>6.9338200000000003E-2</v>
      </c>
      <c r="AW33" s="1003">
        <v>0.99998600000000004</v>
      </c>
    </row>
    <row r="34" spans="1:49" x14ac:dyDescent="0.25">
      <c r="A34" s="49" t="s">
        <v>900</v>
      </c>
      <c r="B34" s="953">
        <v>22</v>
      </c>
      <c r="C34" s="49" t="s">
        <v>102</v>
      </c>
      <c r="D34" s="49">
        <v>7</v>
      </c>
      <c r="E34" s="49">
        <v>6449496</v>
      </c>
      <c r="F34" s="954" t="s">
        <v>103</v>
      </c>
      <c r="G34" s="758" t="s">
        <v>104</v>
      </c>
      <c r="I34" s="49" t="s">
        <v>17</v>
      </c>
      <c r="J34" s="49" t="s">
        <v>23</v>
      </c>
      <c r="K34" s="1005"/>
      <c r="L34" s="1002">
        <v>249716</v>
      </c>
      <c r="M34" s="1006">
        <v>0.2235</v>
      </c>
      <c r="N34" s="1006">
        <v>2.06E-2</v>
      </c>
      <c r="O34" s="1006">
        <v>3.5000000000000001E-3</v>
      </c>
      <c r="P34" s="1007">
        <v>2.93E-9</v>
      </c>
      <c r="Q34" s="1008">
        <v>3.3766E-3</v>
      </c>
      <c r="R34" s="49">
        <v>227101</v>
      </c>
      <c r="S34" s="1009">
        <v>0.23169999999999999</v>
      </c>
      <c r="T34" s="1009">
        <v>2.1100000000000001E-2</v>
      </c>
      <c r="U34" s="1009">
        <v>3.5999999999999999E-3</v>
      </c>
      <c r="V34" s="1001">
        <v>3.8300000000000002E-9</v>
      </c>
      <c r="W34" s="1001">
        <v>6.6214000000000004E-3</v>
      </c>
      <c r="X34" s="1005"/>
      <c r="Y34" s="1002">
        <v>180131</v>
      </c>
      <c r="Z34" s="1006">
        <v>0.213921</v>
      </c>
      <c r="AA34" s="1006">
        <v>2.0039000000000001E-2</v>
      </c>
      <c r="AB34" s="1006">
        <v>4.1580000000000002E-3</v>
      </c>
      <c r="AC34" s="1007">
        <v>1.44E-6</v>
      </c>
      <c r="AD34" s="49">
        <v>157516</v>
      </c>
      <c r="AE34" s="1009">
        <v>0.22514999999999999</v>
      </c>
      <c r="AF34" s="1009">
        <v>2.0709999999999999E-2</v>
      </c>
      <c r="AG34" s="1009">
        <v>4.3499999999999997E-3</v>
      </c>
      <c r="AH34" s="1001">
        <v>1.9599999999999999E-6</v>
      </c>
      <c r="AI34" s="1005"/>
      <c r="AJ34" s="49">
        <v>62499</v>
      </c>
      <c r="AK34" s="1009">
        <v>0.2432</v>
      </c>
      <c r="AL34" s="1009">
        <v>2.3189999999999999E-2</v>
      </c>
      <c r="AM34" s="1009">
        <v>6.5880000000000001E-3</v>
      </c>
      <c r="AN34" s="1001">
        <v>4.3150000000000003E-4</v>
      </c>
      <c r="AO34" s="1001">
        <v>6.2539999999999998E-2</v>
      </c>
      <c r="AP34" s="1009"/>
      <c r="AQ34" s="1005"/>
      <c r="AR34" s="1002">
        <v>7086</v>
      </c>
      <c r="AS34" s="1006">
        <v>0.26845999999999998</v>
      </c>
      <c r="AT34" s="1006">
        <v>8.0000000000000002E-3</v>
      </c>
      <c r="AU34" s="1006">
        <v>2.11404E-2</v>
      </c>
      <c r="AV34" s="1007">
        <v>0.70511699999999999</v>
      </c>
      <c r="AW34" s="1003">
        <v>0.99964900000000001</v>
      </c>
    </row>
    <row r="35" spans="1:49" x14ac:dyDescent="0.25">
      <c r="A35" s="49" t="s">
        <v>900</v>
      </c>
      <c r="B35" s="953">
        <v>23</v>
      </c>
      <c r="C35" s="49" t="s">
        <v>927</v>
      </c>
      <c r="D35" s="49">
        <v>7</v>
      </c>
      <c r="E35" s="49">
        <v>47886522</v>
      </c>
      <c r="F35" s="954" t="s">
        <v>928</v>
      </c>
      <c r="G35" s="758" t="s">
        <v>929</v>
      </c>
      <c r="I35" s="49" t="s">
        <v>17</v>
      </c>
      <c r="J35" s="49" t="s">
        <v>23</v>
      </c>
      <c r="K35" s="1005"/>
      <c r="L35" s="1002">
        <v>226096</v>
      </c>
      <c r="M35" s="1006">
        <v>0.99950000000000006</v>
      </c>
      <c r="N35" s="1006">
        <v>-1.78E-2</v>
      </c>
      <c r="O35" s="1006">
        <v>7.85E-2</v>
      </c>
      <c r="P35" s="1007">
        <v>0.82089999999999996</v>
      </c>
      <c r="Q35" s="1008">
        <v>1.5277000000000001E-3</v>
      </c>
      <c r="R35" s="49">
        <v>204554</v>
      </c>
      <c r="S35" s="1009">
        <v>0.99950000000000006</v>
      </c>
      <c r="T35" s="1009">
        <v>-4.7999999999999996E-3</v>
      </c>
      <c r="U35" s="1009">
        <v>8.0199999999999994E-2</v>
      </c>
      <c r="V35" s="1001">
        <v>0.95209999999999995</v>
      </c>
      <c r="W35" s="1001">
        <v>1.4832999999999999E-3</v>
      </c>
      <c r="X35" s="1005"/>
      <c r="Y35" s="1002">
        <v>163170</v>
      </c>
      <c r="Z35" s="1006">
        <v>0.99950499999999998</v>
      </c>
      <c r="AA35" s="1006">
        <v>-9.4590000000000004E-3</v>
      </c>
      <c r="AB35" s="1006">
        <v>7.8891000000000003E-2</v>
      </c>
      <c r="AC35" s="1007">
        <v>0.90500000000000003</v>
      </c>
      <c r="AD35" s="49">
        <v>141628</v>
      </c>
      <c r="AE35" s="1009">
        <v>0.99944999999999995</v>
      </c>
      <c r="AF35" s="1009">
        <v>3.9899999999999996E-3</v>
      </c>
      <c r="AG35" s="1009">
        <v>8.0640000000000003E-2</v>
      </c>
      <c r="AH35" s="1001">
        <v>0.96099999999999997</v>
      </c>
      <c r="AI35" s="1005"/>
      <c r="AJ35" s="49">
        <v>62926</v>
      </c>
      <c r="AK35" s="1009">
        <v>0.99997000000000003</v>
      </c>
      <c r="AL35" s="1009">
        <v>-0.88822100000000004</v>
      </c>
      <c r="AM35" s="1009">
        <v>0.80728599999999995</v>
      </c>
      <c r="AN35" s="1001">
        <v>0.27122099999999999</v>
      </c>
      <c r="AO35" s="1001"/>
      <c r="AP35" s="1009">
        <v>0.45768199999999998</v>
      </c>
      <c r="AQ35" s="1005"/>
      <c r="AR35" s="1002"/>
      <c r="AS35" s="1006"/>
      <c r="AT35" s="1006"/>
      <c r="AU35" s="1006"/>
      <c r="AV35" s="1007"/>
      <c r="AW35" s="1003"/>
    </row>
    <row r="36" spans="1:49" x14ac:dyDescent="0.25">
      <c r="A36" s="49" t="s">
        <v>900</v>
      </c>
      <c r="B36" s="1301">
        <v>24</v>
      </c>
      <c r="C36" s="49" t="s">
        <v>106</v>
      </c>
      <c r="D36" s="49">
        <v>7</v>
      </c>
      <c r="E36" s="49">
        <v>73012042</v>
      </c>
      <c r="F36" s="1303" t="s">
        <v>107</v>
      </c>
      <c r="G36" s="758" t="s">
        <v>108</v>
      </c>
      <c r="H36" s="1235" t="s">
        <v>109</v>
      </c>
      <c r="I36" s="49" t="s">
        <v>24</v>
      </c>
      <c r="J36" s="49" t="s">
        <v>16</v>
      </c>
      <c r="K36" s="1005"/>
      <c r="L36" s="1002">
        <v>224801</v>
      </c>
      <c r="M36" s="1006">
        <v>0.87909999999999999</v>
      </c>
      <c r="N36" s="1006">
        <v>2.5499999999999998E-2</v>
      </c>
      <c r="O36" s="1006">
        <v>4.7000000000000002E-3</v>
      </c>
      <c r="P36" s="1007">
        <v>7.7400000000000005E-8</v>
      </c>
      <c r="Q36" s="1008">
        <v>0.14534749999999999</v>
      </c>
      <c r="R36" s="49">
        <v>205693</v>
      </c>
      <c r="S36" s="1009">
        <v>0.876</v>
      </c>
      <c r="T36" s="1009">
        <v>2.64E-2</v>
      </c>
      <c r="U36" s="1009">
        <v>4.8999999999999998E-3</v>
      </c>
      <c r="V36" s="1001">
        <v>7.6199999999999994E-8</v>
      </c>
      <c r="W36" s="1001">
        <v>0.14982799999999999</v>
      </c>
      <c r="X36" s="1005"/>
      <c r="Y36" s="1002">
        <v>154852</v>
      </c>
      <c r="Z36" s="1006">
        <v>0.88286600000000004</v>
      </c>
      <c r="AA36" s="1006">
        <v>2.3713999999999999E-2</v>
      </c>
      <c r="AB36" s="1006">
        <v>5.8630000000000002E-3</v>
      </c>
      <c r="AC36" s="1007">
        <v>5.2299999999999997E-5</v>
      </c>
      <c r="AD36" s="49">
        <v>135744</v>
      </c>
      <c r="AE36" s="1009">
        <v>0.87844</v>
      </c>
      <c r="AF36" s="1009">
        <v>2.4930000000000001E-2</v>
      </c>
      <c r="AG36" s="1009">
        <v>6.1799999999999997E-3</v>
      </c>
      <c r="AH36" s="1001">
        <v>5.4400000000000001E-5</v>
      </c>
      <c r="AI36" s="1005"/>
      <c r="AJ36" s="49">
        <v>62863</v>
      </c>
      <c r="AK36" s="1009">
        <v>0.87129999999999996</v>
      </c>
      <c r="AL36" s="1009">
        <v>2.998E-2</v>
      </c>
      <c r="AM36" s="1009">
        <v>8.4139999999999996E-3</v>
      </c>
      <c r="AN36" s="1001">
        <v>3.6729999999999998E-4</v>
      </c>
      <c r="AO36" s="1001">
        <v>0.78710000000000002</v>
      </c>
      <c r="AP36" s="1009"/>
      <c r="AQ36" s="1005"/>
      <c r="AR36" s="1002">
        <v>7086</v>
      </c>
      <c r="AS36" s="1006">
        <v>0.87941999999999998</v>
      </c>
      <c r="AT36" s="1006">
        <v>1.6E-2</v>
      </c>
      <c r="AU36" s="1006">
        <v>2.9451000000000001E-2</v>
      </c>
      <c r="AV36" s="1007">
        <v>0.58694000000000002</v>
      </c>
      <c r="AW36" s="1003">
        <v>0.99989499999999998</v>
      </c>
    </row>
    <row r="37" spans="1:49" x14ac:dyDescent="0.25">
      <c r="A37" s="49" t="s">
        <v>900</v>
      </c>
      <c r="B37" s="1301"/>
      <c r="C37" s="49" t="s">
        <v>111</v>
      </c>
      <c r="D37" s="49">
        <v>7</v>
      </c>
      <c r="E37" s="49">
        <v>73020337</v>
      </c>
      <c r="F37" s="1303"/>
      <c r="G37" s="758" t="s">
        <v>112</v>
      </c>
      <c r="H37" s="1233"/>
      <c r="I37" s="49" t="s">
        <v>17</v>
      </c>
      <c r="J37" s="49" t="s">
        <v>24</v>
      </c>
      <c r="K37" s="1005"/>
      <c r="L37" s="1002">
        <v>239294</v>
      </c>
      <c r="M37" s="1006">
        <v>0.88090000000000002</v>
      </c>
      <c r="N37" s="1006">
        <v>2.76E-2</v>
      </c>
      <c r="O37" s="1006">
        <v>4.7000000000000002E-3</v>
      </c>
      <c r="P37" s="1007">
        <v>3.8700000000000001E-9</v>
      </c>
      <c r="Q37" s="1008">
        <v>5.7995199999999997E-2</v>
      </c>
      <c r="R37" s="49">
        <v>216679</v>
      </c>
      <c r="S37" s="1009">
        <v>0.87609999999999999</v>
      </c>
      <c r="T37" s="1009">
        <v>2.8299999999999999E-2</v>
      </c>
      <c r="U37" s="1009">
        <v>4.7999999999999996E-3</v>
      </c>
      <c r="V37" s="1001">
        <v>4.9799999999999998E-9</v>
      </c>
      <c r="W37" s="1001">
        <v>6.2659699999999999E-2</v>
      </c>
      <c r="X37" s="1005"/>
      <c r="Y37" s="1002">
        <v>169294</v>
      </c>
      <c r="Z37" s="1006">
        <v>0.88567399999999996</v>
      </c>
      <c r="AA37" s="1006">
        <v>2.7008999999999998E-2</v>
      </c>
      <c r="AB37" s="1006">
        <v>5.7679999999999997E-3</v>
      </c>
      <c r="AC37" s="1007">
        <v>2.8399999999999999E-6</v>
      </c>
      <c r="AD37" s="49">
        <v>146679</v>
      </c>
      <c r="AE37" s="1009">
        <v>0.87871999999999995</v>
      </c>
      <c r="AF37" s="1009">
        <v>2.8039999999999999E-2</v>
      </c>
      <c r="AG37" s="1009">
        <v>6.0600000000000003E-3</v>
      </c>
      <c r="AH37" s="1001">
        <v>3.6899999999999998E-6</v>
      </c>
      <c r="AI37" s="1005"/>
      <c r="AJ37" s="49">
        <v>62914</v>
      </c>
      <c r="AK37" s="1009">
        <v>0.87070000000000003</v>
      </c>
      <c r="AL37" s="1009">
        <v>3.09E-2</v>
      </c>
      <c r="AM37" s="1009">
        <v>8.4010000000000005E-3</v>
      </c>
      <c r="AN37" s="1001">
        <v>2.3560000000000001E-4</v>
      </c>
      <c r="AO37" s="1001">
        <v>0.74880000000000002</v>
      </c>
      <c r="AP37" s="1009"/>
      <c r="AQ37" s="1005"/>
      <c r="AR37" s="1002">
        <v>7086</v>
      </c>
      <c r="AS37" s="1006">
        <v>0.88136999999999999</v>
      </c>
      <c r="AT37" s="1006">
        <v>5.0000000000000001E-3</v>
      </c>
      <c r="AU37" s="1006">
        <v>2.8403399999999999E-2</v>
      </c>
      <c r="AV37" s="1007">
        <v>0.86026599999999998</v>
      </c>
      <c r="AW37" s="1003">
        <v>0.99983999999999995</v>
      </c>
    </row>
    <row r="38" spans="1:49" x14ac:dyDescent="0.25">
      <c r="A38" s="49" t="s">
        <v>900</v>
      </c>
      <c r="B38" s="953">
        <v>25</v>
      </c>
      <c r="C38" s="49" t="s">
        <v>930</v>
      </c>
      <c r="D38" s="49">
        <v>10</v>
      </c>
      <c r="E38" s="49">
        <v>64927823</v>
      </c>
      <c r="F38" s="954" t="s">
        <v>931</v>
      </c>
      <c r="G38" s="758" t="s">
        <v>932</v>
      </c>
      <c r="I38" s="49" t="s">
        <v>17</v>
      </c>
      <c r="J38" s="49" t="s">
        <v>24</v>
      </c>
      <c r="K38" s="1005"/>
      <c r="L38" s="1002">
        <v>245656</v>
      </c>
      <c r="M38" s="1006">
        <v>0.5252</v>
      </c>
      <c r="N38" s="1006">
        <v>1.29E-2</v>
      </c>
      <c r="O38" s="1006">
        <v>3.0000000000000001E-3</v>
      </c>
      <c r="P38" s="1007">
        <v>1.6200000000000001E-5</v>
      </c>
      <c r="Q38" s="1008">
        <v>9.6274200000000004E-2</v>
      </c>
      <c r="R38" s="49">
        <v>223041</v>
      </c>
      <c r="S38" s="1009">
        <v>0.51629999999999998</v>
      </c>
      <c r="T38" s="1009">
        <v>1.35E-2</v>
      </c>
      <c r="U38" s="1009">
        <v>3.0999999999999999E-3</v>
      </c>
      <c r="V38" s="1001">
        <v>1.7399999999999999E-5</v>
      </c>
      <c r="W38" s="1001">
        <v>0.22076309999999999</v>
      </c>
      <c r="X38" s="1005"/>
      <c r="Y38" s="1002">
        <v>175763</v>
      </c>
      <c r="Z38" s="1006">
        <v>0.52571699999999999</v>
      </c>
      <c r="AA38" s="1006">
        <v>1.6005999999999999E-2</v>
      </c>
      <c r="AB38" s="1006">
        <v>3.5980000000000001E-3</v>
      </c>
      <c r="AC38" s="1007">
        <v>8.6600000000000001E-6</v>
      </c>
      <c r="AD38" s="49">
        <v>153148</v>
      </c>
      <c r="AE38" s="1009">
        <v>0.51236000000000004</v>
      </c>
      <c r="AF38" s="1009">
        <v>1.729E-2</v>
      </c>
      <c r="AG38" s="1009">
        <v>3.8500000000000001E-3</v>
      </c>
      <c r="AH38" s="1001">
        <v>7.2200000000000003E-6</v>
      </c>
      <c r="AI38" s="1005"/>
      <c r="AJ38" s="49">
        <v>62807</v>
      </c>
      <c r="AK38" s="1009">
        <v>0.52839999999999998</v>
      </c>
      <c r="AL38" s="1009">
        <v>7.0899999999999999E-3</v>
      </c>
      <c r="AM38" s="1009">
        <v>5.6709999999999998E-3</v>
      </c>
      <c r="AN38" s="1001">
        <v>0.2112</v>
      </c>
      <c r="AO38" s="1001">
        <v>1.477E-2</v>
      </c>
      <c r="AP38" s="1009"/>
      <c r="AQ38" s="1005"/>
      <c r="AR38" s="1002">
        <v>7086</v>
      </c>
      <c r="AS38" s="1006">
        <v>0.47622999999999999</v>
      </c>
      <c r="AT38" s="1006">
        <v>-7.0000000000000001E-3</v>
      </c>
      <c r="AU38" s="1006">
        <v>1.8951900000000001E-2</v>
      </c>
      <c r="AV38" s="1007">
        <v>0.71186199999999999</v>
      </c>
      <c r="AW38" s="1003">
        <v>0.99998699999999996</v>
      </c>
    </row>
    <row r="39" spans="1:49" x14ac:dyDescent="0.25">
      <c r="A39" s="49" t="s">
        <v>900</v>
      </c>
      <c r="B39" s="953">
        <v>26</v>
      </c>
      <c r="C39" s="49" t="s">
        <v>114</v>
      </c>
      <c r="D39" s="49">
        <v>10</v>
      </c>
      <c r="E39" s="49">
        <v>95931087</v>
      </c>
      <c r="F39" s="954" t="s">
        <v>115</v>
      </c>
      <c r="G39" s="758" t="s">
        <v>116</v>
      </c>
      <c r="H39" s="945" t="s">
        <v>117</v>
      </c>
      <c r="I39" s="49" t="s">
        <v>23</v>
      </c>
      <c r="J39" s="49" t="s">
        <v>24</v>
      </c>
      <c r="K39" s="1005"/>
      <c r="L39" s="1002">
        <v>250101</v>
      </c>
      <c r="M39" s="1006">
        <v>0.16950000000000001</v>
      </c>
      <c r="N39" s="1006">
        <v>1.9599999999999999E-2</v>
      </c>
      <c r="O39" s="1006">
        <v>3.8E-3</v>
      </c>
      <c r="P39" s="1007">
        <v>3.4400000000000001E-7</v>
      </c>
      <c r="Q39" s="1008">
        <v>0.59136100000000003</v>
      </c>
      <c r="R39" s="49">
        <v>227486</v>
      </c>
      <c r="S39" s="1009">
        <v>0.1663</v>
      </c>
      <c r="T39" s="1009">
        <v>2.07E-2</v>
      </c>
      <c r="U39" s="1009">
        <v>4.1000000000000003E-3</v>
      </c>
      <c r="V39" s="1001">
        <v>3.5499999999999999E-7</v>
      </c>
      <c r="W39" s="1001">
        <v>0.7216205</v>
      </c>
      <c r="X39" s="1005"/>
      <c r="Y39" s="1002">
        <v>180131</v>
      </c>
      <c r="Z39" s="1006">
        <v>0.16972899999999999</v>
      </c>
      <c r="AA39" s="1006">
        <v>2.1353E-2</v>
      </c>
      <c r="AB39" s="1006">
        <v>4.5440000000000003E-3</v>
      </c>
      <c r="AC39" s="1007">
        <v>2.61E-6</v>
      </c>
      <c r="AD39" s="49">
        <v>157516</v>
      </c>
      <c r="AE39" s="1009">
        <v>0.16516</v>
      </c>
      <c r="AF39" s="1009">
        <v>2.3210000000000001E-2</v>
      </c>
      <c r="AG39" s="1009">
        <v>4.9100000000000003E-3</v>
      </c>
      <c r="AH39" s="1001">
        <v>2.3199999999999998E-6</v>
      </c>
      <c r="AI39" s="1005"/>
      <c r="AJ39" s="49">
        <v>62884</v>
      </c>
      <c r="AK39" s="1009">
        <v>0.17069999999999999</v>
      </c>
      <c r="AL39" s="1009">
        <v>1.7989999999999999E-2</v>
      </c>
      <c r="AM39" s="1009">
        <v>7.4790000000000004E-3</v>
      </c>
      <c r="AN39" s="1001">
        <v>1.619E-2</v>
      </c>
      <c r="AO39" s="1001">
        <v>0.14230000000000001</v>
      </c>
      <c r="AP39" s="1009"/>
      <c r="AQ39" s="1005"/>
      <c r="AR39" s="1002">
        <v>7086</v>
      </c>
      <c r="AS39" s="1006">
        <v>0.14510999999999999</v>
      </c>
      <c r="AT39" s="1006">
        <v>-2.1999999999999999E-2</v>
      </c>
      <c r="AU39" s="1006">
        <v>2.7179999999999999E-2</v>
      </c>
      <c r="AV39" s="1007">
        <v>0.41827500000000001</v>
      </c>
      <c r="AW39" s="1003">
        <v>0.99970300000000001</v>
      </c>
    </row>
    <row r="40" spans="1:49" ht="30" x14ac:dyDescent="0.25">
      <c r="A40" s="49" t="s">
        <v>900</v>
      </c>
      <c r="B40" s="953">
        <v>27</v>
      </c>
      <c r="C40" s="49" t="s">
        <v>933</v>
      </c>
      <c r="D40" s="49">
        <v>10</v>
      </c>
      <c r="E40" s="49">
        <v>104572963</v>
      </c>
      <c r="F40" s="954" t="s">
        <v>934</v>
      </c>
      <c r="G40" s="758" t="s">
        <v>935</v>
      </c>
      <c r="H40" s="1010" t="s">
        <v>5275</v>
      </c>
      <c r="I40" s="49" t="s">
        <v>23</v>
      </c>
      <c r="J40" s="49" t="s">
        <v>17</v>
      </c>
      <c r="K40" s="1005"/>
      <c r="L40" s="1002">
        <v>248719</v>
      </c>
      <c r="M40" s="1006">
        <v>0.41099999999999998</v>
      </c>
      <c r="N40" s="1006">
        <v>1.0500000000000001E-2</v>
      </c>
      <c r="O40" s="1006">
        <v>3.0000000000000001E-3</v>
      </c>
      <c r="P40" s="1007">
        <v>4.7540000000000001E-4</v>
      </c>
      <c r="Q40" s="1008">
        <v>6.7960000000000004E-4</v>
      </c>
      <c r="R40" s="49">
        <v>226104</v>
      </c>
      <c r="S40" s="1009">
        <v>0.40689999999999998</v>
      </c>
      <c r="T40" s="1009">
        <v>1.2800000000000001E-2</v>
      </c>
      <c r="U40" s="1009">
        <v>3.2000000000000002E-3</v>
      </c>
      <c r="V40" s="1001">
        <v>4.8900000000000003E-5</v>
      </c>
      <c r="W40" s="1001">
        <v>3.4E-5</v>
      </c>
      <c r="X40" s="1005"/>
      <c r="Y40" s="1002">
        <v>178946</v>
      </c>
      <c r="Z40" s="1006">
        <v>0.41466799999999998</v>
      </c>
      <c r="AA40" s="1006">
        <v>1.4707E-2</v>
      </c>
      <c r="AB40" s="1006">
        <v>3.5760000000000002E-3</v>
      </c>
      <c r="AC40" s="1007">
        <v>3.9100000000000002E-5</v>
      </c>
      <c r="AD40" s="49">
        <v>156331</v>
      </c>
      <c r="AE40" s="1009">
        <v>0.40916999999999998</v>
      </c>
      <c r="AF40" s="1009">
        <v>1.8849999999999999E-2</v>
      </c>
      <c r="AG40" s="1009">
        <v>3.8500000000000001E-3</v>
      </c>
      <c r="AH40" s="1001">
        <v>9.5799999999999998E-7</v>
      </c>
      <c r="AI40" s="1005"/>
      <c r="AJ40" s="49">
        <v>62687</v>
      </c>
      <c r="AK40" s="1009">
        <v>0.40029999999999999</v>
      </c>
      <c r="AL40" s="1009">
        <v>-1.1440000000000001E-3</v>
      </c>
      <c r="AM40" s="1009">
        <v>5.7679999999999997E-3</v>
      </c>
      <c r="AN40" s="1001">
        <v>0.8427</v>
      </c>
      <c r="AO40" s="1001">
        <v>5.3420000000000002E-2</v>
      </c>
      <c r="AP40" s="1009"/>
      <c r="AQ40" s="1005"/>
      <c r="AR40" s="1002">
        <v>7086</v>
      </c>
      <c r="AS40" s="1006">
        <v>0.42199999999999999</v>
      </c>
      <c r="AT40" s="1006">
        <v>1.7999999999999999E-2</v>
      </c>
      <c r="AU40" s="1006">
        <v>1.9343699999999998E-2</v>
      </c>
      <c r="AV40" s="1007">
        <v>0.35209400000000002</v>
      </c>
      <c r="AW40" s="1003">
        <v>0.99991399999999997</v>
      </c>
    </row>
    <row r="41" spans="1:49" x14ac:dyDescent="0.25">
      <c r="A41" s="49" t="s">
        <v>900</v>
      </c>
      <c r="B41" s="953">
        <v>28</v>
      </c>
      <c r="C41" s="49" t="s">
        <v>119</v>
      </c>
      <c r="D41" s="49">
        <v>10</v>
      </c>
      <c r="E41" s="49">
        <v>123279643</v>
      </c>
      <c r="F41" s="954" t="s">
        <v>120</v>
      </c>
      <c r="G41" s="758" t="s">
        <v>96</v>
      </c>
      <c r="I41" s="49" t="s">
        <v>23</v>
      </c>
      <c r="J41" s="49" t="s">
        <v>17</v>
      </c>
      <c r="K41" s="1005"/>
      <c r="L41" s="1002">
        <v>123421</v>
      </c>
      <c r="M41" s="1006">
        <v>8.0000000000000004E-4</v>
      </c>
      <c r="N41" s="1006">
        <v>0.17030000000000001</v>
      </c>
      <c r="O41" s="1006">
        <v>7.4399999999999994E-2</v>
      </c>
      <c r="P41" s="1007">
        <v>2.2159999999999999E-2</v>
      </c>
      <c r="Q41" s="1008">
        <v>0.10897859999999999</v>
      </c>
      <c r="R41" s="49">
        <v>106008</v>
      </c>
      <c r="S41" s="1009">
        <v>8.9999999999999998E-4</v>
      </c>
      <c r="T41" s="1009">
        <v>0.15390000000000001</v>
      </c>
      <c r="U41" s="1009">
        <v>7.5300000000000006E-2</v>
      </c>
      <c r="V41" s="1001">
        <v>4.0820000000000002E-2</v>
      </c>
      <c r="W41" s="1001">
        <v>3.6247099999999997E-2</v>
      </c>
      <c r="X41" s="1005"/>
      <c r="Y41" s="1002">
        <v>123421</v>
      </c>
      <c r="Z41" s="1006">
        <v>7.5600000000000005E-4</v>
      </c>
      <c r="AA41" s="1006">
        <v>0.17025399999999999</v>
      </c>
      <c r="AB41" s="1006">
        <v>7.4425000000000005E-2</v>
      </c>
      <c r="AC41" s="1007">
        <v>2.2200000000000001E-2</v>
      </c>
      <c r="AD41" s="49">
        <v>106008</v>
      </c>
      <c r="AE41" s="1009">
        <v>8.5999999999999998E-4</v>
      </c>
      <c r="AF41" s="1009">
        <v>0.15393000000000001</v>
      </c>
      <c r="AG41" s="1009">
        <v>7.5259999999999994E-2</v>
      </c>
      <c r="AH41" s="1001">
        <v>4.0800000000000003E-2</v>
      </c>
      <c r="AI41" s="1005"/>
      <c r="AK41" s="1009"/>
      <c r="AL41" s="1009"/>
      <c r="AM41" s="1009"/>
      <c r="AN41" s="1001"/>
      <c r="AO41" s="1001"/>
      <c r="AP41" s="1009"/>
      <c r="AQ41" s="1005"/>
      <c r="AR41" s="1002"/>
      <c r="AS41" s="1006"/>
      <c r="AT41" s="1006"/>
      <c r="AU41" s="1006"/>
      <c r="AV41" s="1007"/>
      <c r="AW41" s="1003"/>
    </row>
    <row r="42" spans="1:49" x14ac:dyDescent="0.25">
      <c r="A42" s="49" t="s">
        <v>900</v>
      </c>
      <c r="B42" s="953">
        <v>29</v>
      </c>
      <c r="C42" s="49" t="s">
        <v>122</v>
      </c>
      <c r="D42" s="49">
        <v>11</v>
      </c>
      <c r="E42" s="49">
        <v>64031241</v>
      </c>
      <c r="F42" s="954" t="s">
        <v>123</v>
      </c>
      <c r="G42" s="758" t="s">
        <v>124</v>
      </c>
      <c r="H42" s="943" t="s">
        <v>125</v>
      </c>
      <c r="I42" s="49" t="s">
        <v>23</v>
      </c>
      <c r="J42" s="49" t="s">
        <v>17</v>
      </c>
      <c r="K42" s="1005"/>
      <c r="L42" s="1002">
        <v>250097</v>
      </c>
      <c r="M42" s="1006">
        <v>6.0900000000000003E-2</v>
      </c>
      <c r="N42" s="1006">
        <v>4.8899999999999999E-2</v>
      </c>
      <c r="O42" s="1006">
        <v>6.0000000000000001E-3</v>
      </c>
      <c r="P42" s="1007">
        <v>6.7400000000000001E-16</v>
      </c>
      <c r="Q42" s="1008">
        <v>1.27E-4</v>
      </c>
      <c r="R42" s="49">
        <v>227482</v>
      </c>
      <c r="S42" s="1009">
        <v>6.5100000000000005E-2</v>
      </c>
      <c r="T42" s="1009">
        <v>4.9200000000000001E-2</v>
      </c>
      <c r="U42" s="1009">
        <v>6.1000000000000004E-3</v>
      </c>
      <c r="V42" s="1001">
        <v>1.03E-15</v>
      </c>
      <c r="W42" s="1001">
        <v>2.4600000000000002E-5</v>
      </c>
      <c r="X42" s="1005"/>
      <c r="Y42" s="1002">
        <v>180131</v>
      </c>
      <c r="Z42" s="1006">
        <v>6.0155E-2</v>
      </c>
      <c r="AA42" s="1006">
        <v>4.3018000000000001E-2</v>
      </c>
      <c r="AB42" s="1006">
        <v>7.2230000000000003E-3</v>
      </c>
      <c r="AC42" s="1007">
        <v>2.5899999999999999E-9</v>
      </c>
      <c r="AD42" s="49">
        <v>157516</v>
      </c>
      <c r="AE42" s="1009">
        <v>6.6280000000000006E-2</v>
      </c>
      <c r="AF42" s="1009">
        <v>4.3319999999999997E-2</v>
      </c>
      <c r="AG42" s="1009">
        <v>7.3699999999999998E-3</v>
      </c>
      <c r="AH42" s="1001">
        <v>4.1499999999999999E-9</v>
      </c>
      <c r="AI42" s="1005"/>
      <c r="AJ42" s="49">
        <v>62880</v>
      </c>
      <c r="AK42" s="1009">
        <v>6.3530000000000003E-2</v>
      </c>
      <c r="AL42" s="1009">
        <v>6.1830000000000003E-2</v>
      </c>
      <c r="AM42" s="1009">
        <v>1.1429999999999999E-2</v>
      </c>
      <c r="AN42" s="1001">
        <v>6.2800000000000006E-8</v>
      </c>
      <c r="AO42" s="1001">
        <v>0.75270000000000004</v>
      </c>
      <c r="AP42" s="1009"/>
      <c r="AQ42" s="1005"/>
      <c r="AR42" s="1002">
        <v>7086</v>
      </c>
      <c r="AS42" s="1006">
        <v>4.6920000000000003E-2</v>
      </c>
      <c r="AT42" s="1006">
        <v>7.3999999999999996E-2</v>
      </c>
      <c r="AU42" s="1006">
        <v>4.4763499999999998E-2</v>
      </c>
      <c r="AV42" s="1007">
        <v>9.8304199999999994E-2</v>
      </c>
      <c r="AW42" s="1003">
        <v>0.99864600000000003</v>
      </c>
    </row>
    <row r="43" spans="1:49" x14ac:dyDescent="0.25">
      <c r="A43" s="49" t="s">
        <v>900</v>
      </c>
      <c r="B43" s="953">
        <v>30</v>
      </c>
      <c r="C43" s="49" t="s">
        <v>127</v>
      </c>
      <c r="D43" s="49">
        <v>11</v>
      </c>
      <c r="E43" s="49">
        <v>65403651</v>
      </c>
      <c r="F43" s="954" t="s">
        <v>128</v>
      </c>
      <c r="G43" s="758" t="s">
        <v>129</v>
      </c>
      <c r="I43" s="49" t="s">
        <v>17</v>
      </c>
      <c r="J43" s="49" t="s">
        <v>16</v>
      </c>
      <c r="K43" s="1005"/>
      <c r="L43" s="1002">
        <v>226400</v>
      </c>
      <c r="M43" s="1006">
        <v>0.95369999999999999</v>
      </c>
      <c r="N43" s="1006">
        <v>3.2099999999999997E-2</v>
      </c>
      <c r="O43" s="1006">
        <v>7.1999999999999998E-3</v>
      </c>
      <c r="P43" s="1007">
        <v>8.5399999999999996E-6</v>
      </c>
      <c r="Q43" s="1008">
        <v>0.43734580000000001</v>
      </c>
      <c r="R43" s="49">
        <v>203785</v>
      </c>
      <c r="S43" s="1009">
        <v>0.94989999999999997</v>
      </c>
      <c r="T43" s="1009">
        <v>3.1199999999999999E-2</v>
      </c>
      <c r="U43" s="1009">
        <v>7.3000000000000001E-3</v>
      </c>
      <c r="V43" s="1001">
        <v>1.7499999999999998E-5</v>
      </c>
      <c r="W43" s="1001">
        <v>0.54766959999999998</v>
      </c>
      <c r="X43" s="1005"/>
      <c r="Y43" s="1002">
        <v>160201</v>
      </c>
      <c r="Z43" s="1006">
        <v>0.95827899999999999</v>
      </c>
      <c r="AA43" s="1006">
        <v>2.9416000000000001E-2</v>
      </c>
      <c r="AB43" s="1006">
        <v>8.9379999999999998E-3</v>
      </c>
      <c r="AC43" s="1007">
        <v>9.9799999999999997E-4</v>
      </c>
      <c r="AD43" s="49">
        <v>137586</v>
      </c>
      <c r="AE43" s="1009">
        <v>0.95252000000000003</v>
      </c>
      <c r="AF43" s="1009">
        <v>2.7990000000000001E-2</v>
      </c>
      <c r="AG43" s="1009">
        <v>9.0500000000000008E-3</v>
      </c>
      <c r="AH43" s="1001">
        <v>1.97E-3</v>
      </c>
      <c r="AI43" s="1005"/>
      <c r="AJ43" s="49">
        <v>59113</v>
      </c>
      <c r="AK43" s="1009">
        <v>0.94472999999999996</v>
      </c>
      <c r="AL43" s="1009">
        <v>3.8170000000000003E-2</v>
      </c>
      <c r="AM43" s="1009">
        <v>1.2710000000000001E-2</v>
      </c>
      <c r="AN43" s="1001">
        <v>2.6779999999999998E-3</v>
      </c>
      <c r="AO43" s="1001">
        <v>0.97719999999999996</v>
      </c>
      <c r="AP43" s="1009"/>
      <c r="AQ43" s="1005"/>
      <c r="AR43" s="1002">
        <v>7086</v>
      </c>
      <c r="AS43" s="1006">
        <v>0.94811000000000001</v>
      </c>
      <c r="AT43" s="1006">
        <v>2.5000000000000001E-2</v>
      </c>
      <c r="AU43" s="1006">
        <v>4.5231300000000002E-2</v>
      </c>
      <c r="AV43" s="1007">
        <v>0.58045899999999995</v>
      </c>
      <c r="AW43" s="1003">
        <v>0.99568999999999996</v>
      </c>
    </row>
    <row r="44" spans="1:49" x14ac:dyDescent="0.25">
      <c r="A44" s="49" t="s">
        <v>900</v>
      </c>
      <c r="B44" s="953">
        <v>31</v>
      </c>
      <c r="C44" s="49" t="s">
        <v>131</v>
      </c>
      <c r="D44" s="49">
        <v>12</v>
      </c>
      <c r="E44" s="49">
        <v>48143315</v>
      </c>
      <c r="F44" s="954" t="s">
        <v>132</v>
      </c>
      <c r="G44" s="758" t="s">
        <v>133</v>
      </c>
      <c r="I44" s="49" t="s">
        <v>16</v>
      </c>
      <c r="J44" s="49" t="s">
        <v>24</v>
      </c>
      <c r="K44" s="1005"/>
      <c r="L44" s="1002">
        <v>246266</v>
      </c>
      <c r="M44" s="1006">
        <v>0.98939999999999995</v>
      </c>
      <c r="N44" s="1006">
        <v>0.10730000000000001</v>
      </c>
      <c r="O44" s="1006">
        <v>1.3899999999999999E-2</v>
      </c>
      <c r="P44" s="1007">
        <v>1.34E-14</v>
      </c>
      <c r="Q44" s="1008">
        <v>7.3485E-3</v>
      </c>
      <c r="R44" s="49">
        <v>225428</v>
      </c>
      <c r="S44" s="1009">
        <v>0.98860000000000003</v>
      </c>
      <c r="T44" s="1009">
        <v>0.1081</v>
      </c>
      <c r="U44" s="1009">
        <v>1.41E-2</v>
      </c>
      <c r="V44" s="1001">
        <v>1.42E-14</v>
      </c>
      <c r="W44" s="1001">
        <v>4.2421000000000004E-3</v>
      </c>
      <c r="X44" s="1005"/>
      <c r="Y44" s="1002">
        <v>178354</v>
      </c>
      <c r="Z44" s="1006">
        <v>0.98971500000000001</v>
      </c>
      <c r="AA44" s="1006">
        <v>0.101812</v>
      </c>
      <c r="AB44" s="1006">
        <v>1.6584000000000002E-2</v>
      </c>
      <c r="AC44" s="1007">
        <v>8.2900000000000003E-10</v>
      </c>
      <c r="AD44" s="49">
        <v>157516</v>
      </c>
      <c r="AE44" s="1009">
        <v>0.98865999999999998</v>
      </c>
      <c r="AF44" s="1009">
        <v>0.10292</v>
      </c>
      <c r="AG44" s="1009">
        <v>1.6799999999999999E-2</v>
      </c>
      <c r="AH44" s="1001">
        <v>8.9999999999999999E-10</v>
      </c>
      <c r="AI44" s="1005"/>
      <c r="AJ44" s="49">
        <v>60826</v>
      </c>
      <c r="AK44" s="1009">
        <v>0.98878999999999995</v>
      </c>
      <c r="AL44" s="1009">
        <v>0.1232</v>
      </c>
      <c r="AM44" s="1009">
        <v>2.6980000000000001E-2</v>
      </c>
      <c r="AN44" s="1001">
        <v>4.95E-6</v>
      </c>
      <c r="AO44" s="1001">
        <v>0.35199999999999998</v>
      </c>
      <c r="AP44" s="1009"/>
      <c r="AQ44" s="1005"/>
      <c r="AR44" s="1002">
        <v>7086</v>
      </c>
      <c r="AS44" s="1006">
        <v>0.98573999999999995</v>
      </c>
      <c r="AT44" s="1006">
        <v>9.2999999999999999E-2</v>
      </c>
      <c r="AU44" s="1006">
        <v>8.2618499999999997E-2</v>
      </c>
      <c r="AV44" s="1007">
        <v>0.26031100000000001</v>
      </c>
      <c r="AW44" s="1003">
        <v>0.98935700000000004</v>
      </c>
    </row>
    <row r="45" spans="1:49" x14ac:dyDescent="0.25">
      <c r="A45" s="49" t="s">
        <v>900</v>
      </c>
      <c r="B45" s="953">
        <v>32</v>
      </c>
      <c r="C45" s="49" t="s">
        <v>135</v>
      </c>
      <c r="D45" s="49">
        <v>12</v>
      </c>
      <c r="E45" s="49">
        <v>108618630</v>
      </c>
      <c r="F45" s="954" t="s">
        <v>136</v>
      </c>
      <c r="G45" s="758" t="s">
        <v>137</v>
      </c>
      <c r="I45" s="49" t="s">
        <v>17</v>
      </c>
      <c r="J45" s="49" t="s">
        <v>23</v>
      </c>
      <c r="K45" s="1005"/>
      <c r="L45" s="1002">
        <v>248299</v>
      </c>
      <c r="M45" s="1006">
        <v>0.74360000000000004</v>
      </c>
      <c r="N45" s="1006">
        <v>1.37E-2</v>
      </c>
      <c r="O45" s="1006">
        <v>3.3E-3</v>
      </c>
      <c r="P45" s="1007">
        <v>4.2200000000000003E-5</v>
      </c>
      <c r="Q45" s="1008">
        <v>0.5513747</v>
      </c>
      <c r="R45" s="49">
        <v>227461</v>
      </c>
      <c r="S45" s="1009">
        <v>0.73809999999999998</v>
      </c>
      <c r="T45" s="1009">
        <v>1.37E-2</v>
      </c>
      <c r="U45" s="1009">
        <v>3.3999999999999998E-3</v>
      </c>
      <c r="V45" s="1001">
        <v>6.58E-5</v>
      </c>
      <c r="W45" s="1001">
        <v>0.61080420000000002</v>
      </c>
      <c r="X45" s="1005"/>
      <c r="Y45" s="1002">
        <v>178354</v>
      </c>
      <c r="Z45" s="1006">
        <v>0.74479099999999998</v>
      </c>
      <c r="AA45" s="1006">
        <v>1.1686E-2</v>
      </c>
      <c r="AB45" s="1006">
        <v>3.9719999999999998E-3</v>
      </c>
      <c r="AC45" s="1007">
        <v>3.2599999999999999E-3</v>
      </c>
      <c r="AD45" s="49">
        <v>157516</v>
      </c>
      <c r="AE45" s="1009">
        <v>0.73692999999999997</v>
      </c>
      <c r="AF45" s="1009">
        <v>1.1599999999999999E-2</v>
      </c>
      <c r="AG45" s="1009">
        <v>4.15E-3</v>
      </c>
      <c r="AH45" s="1001">
        <v>5.13E-3</v>
      </c>
      <c r="AI45" s="1005"/>
      <c r="AJ45" s="49">
        <v>62859</v>
      </c>
      <c r="AK45" s="1009">
        <v>0.73909999999999998</v>
      </c>
      <c r="AL45" s="1009">
        <v>2.0490000000000001E-2</v>
      </c>
      <c r="AM45" s="1009">
        <v>6.4140000000000004E-3</v>
      </c>
      <c r="AN45" s="1001">
        <v>1.403E-3</v>
      </c>
      <c r="AO45" s="1001">
        <v>0.1128</v>
      </c>
      <c r="AP45" s="1009"/>
      <c r="AQ45" s="1005"/>
      <c r="AR45" s="1002">
        <v>7086</v>
      </c>
      <c r="AS45" s="1006">
        <v>0.75944</v>
      </c>
      <c r="AT45" s="1006">
        <v>-5.0000000000000001E-3</v>
      </c>
      <c r="AU45" s="1006">
        <v>2.1307199999999998E-2</v>
      </c>
      <c r="AV45" s="1007">
        <v>0.81447099999999995</v>
      </c>
      <c r="AW45" s="1003">
        <v>0.99739900000000004</v>
      </c>
    </row>
    <row r="46" spans="1:49" x14ac:dyDescent="0.25">
      <c r="A46" s="49" t="s">
        <v>905</v>
      </c>
      <c r="B46" s="1301">
        <v>33</v>
      </c>
      <c r="C46" s="49" t="s">
        <v>936</v>
      </c>
      <c r="D46" s="49">
        <v>12</v>
      </c>
      <c r="E46" s="49">
        <v>123200768</v>
      </c>
      <c r="F46" s="954" t="s">
        <v>937</v>
      </c>
      <c r="G46" s="758" t="s">
        <v>938</v>
      </c>
      <c r="H46" s="1233" t="s">
        <v>141</v>
      </c>
      <c r="I46" s="49" t="s">
        <v>23</v>
      </c>
      <c r="J46" s="49" t="s">
        <v>24</v>
      </c>
      <c r="K46" s="1005"/>
      <c r="L46" s="1002">
        <v>245798</v>
      </c>
      <c r="M46" s="1006">
        <v>0.43540000000000001</v>
      </c>
      <c r="N46" s="1006">
        <v>2.1600000000000001E-2</v>
      </c>
      <c r="O46" s="1006">
        <v>4.4000000000000003E-3</v>
      </c>
      <c r="P46" s="1007">
        <v>8.8299999999999995E-7</v>
      </c>
      <c r="Q46" s="1008">
        <v>6.7552999999999997E-3</v>
      </c>
      <c r="R46" s="49">
        <v>227464</v>
      </c>
      <c r="S46" s="1009">
        <v>0.42980000000000002</v>
      </c>
      <c r="T46" s="1009">
        <v>2.4500000000000001E-2</v>
      </c>
      <c r="U46" s="1009">
        <v>4.4999999999999997E-3</v>
      </c>
      <c r="V46" s="1001">
        <v>6.4799999999999998E-8</v>
      </c>
      <c r="W46" s="1001">
        <v>6.6847E-3</v>
      </c>
      <c r="X46" s="1005"/>
      <c r="Y46" s="1002">
        <v>175850</v>
      </c>
      <c r="Z46" s="1006">
        <v>0.43547799999999998</v>
      </c>
      <c r="AA46" s="1006">
        <v>2.1767000000000002E-2</v>
      </c>
      <c r="AB46" s="1006">
        <v>5.2129999999999998E-3</v>
      </c>
      <c r="AC46" s="1007">
        <v>2.9799999999999999E-5</v>
      </c>
      <c r="AD46" s="49">
        <v>157516</v>
      </c>
      <c r="AE46" s="1009">
        <v>0.42747000000000002</v>
      </c>
      <c r="AF46" s="1009">
        <v>2.6030000000000001E-2</v>
      </c>
      <c r="AG46" s="1009">
        <v>5.4599999999999996E-3</v>
      </c>
      <c r="AH46" s="1001">
        <v>1.8899999999999999E-6</v>
      </c>
      <c r="AI46" s="1005"/>
      <c r="AJ46" s="49">
        <v>62862</v>
      </c>
      <c r="AK46" s="1009">
        <v>0.4304</v>
      </c>
      <c r="AL46" s="1009">
        <v>2.2939999999999999E-2</v>
      </c>
      <c r="AM46" s="1009">
        <v>8.5000000000000006E-3</v>
      </c>
      <c r="AN46" s="1001">
        <v>6.9610000000000002E-3</v>
      </c>
      <c r="AO46" s="1001">
        <v>0.7329</v>
      </c>
      <c r="AP46" s="1009"/>
      <c r="AQ46" s="1005"/>
      <c r="AR46" s="1002">
        <v>7086</v>
      </c>
      <c r="AS46" s="1006">
        <v>0.48793999999999998</v>
      </c>
      <c r="AT46" s="1006">
        <v>1E-3</v>
      </c>
      <c r="AU46" s="1006">
        <v>2.8384599999999999E-2</v>
      </c>
      <c r="AV46" s="1007">
        <v>0.97189599999999998</v>
      </c>
      <c r="AW46" s="1003">
        <v>0.99831000000000003</v>
      </c>
    </row>
    <row r="47" spans="1:49" x14ac:dyDescent="0.25">
      <c r="A47" s="49" t="s">
        <v>900</v>
      </c>
      <c r="B47" s="1301"/>
      <c r="C47" s="49" t="s">
        <v>139</v>
      </c>
      <c r="D47" s="49">
        <v>12</v>
      </c>
      <c r="E47" s="49">
        <v>123444507</v>
      </c>
      <c r="F47" s="954" t="s">
        <v>939</v>
      </c>
      <c r="G47" s="758" t="s">
        <v>140</v>
      </c>
      <c r="H47" s="1233"/>
      <c r="I47" s="49" t="s">
        <v>24</v>
      </c>
      <c r="J47" s="49" t="s">
        <v>23</v>
      </c>
      <c r="K47" s="1005"/>
      <c r="L47" s="1002">
        <v>247331</v>
      </c>
      <c r="M47" s="1006">
        <v>0.98660000000000003</v>
      </c>
      <c r="N47" s="1006">
        <v>6.08E-2</v>
      </c>
      <c r="O47" s="1006">
        <v>1.2699999999999999E-2</v>
      </c>
      <c r="P47" s="1007">
        <v>1.6300000000000001E-6</v>
      </c>
      <c r="Q47" s="1008">
        <v>0.35055969999999997</v>
      </c>
      <c r="R47" s="49">
        <v>225436</v>
      </c>
      <c r="S47" s="1009">
        <v>0.98580000000000001</v>
      </c>
      <c r="T47" s="1009">
        <v>6.3500000000000001E-2</v>
      </c>
      <c r="U47" s="1009">
        <v>1.29E-2</v>
      </c>
      <c r="V47" s="1001">
        <v>7.8700000000000005E-7</v>
      </c>
      <c r="W47" s="1001">
        <v>0.36059089999999999</v>
      </c>
      <c r="X47" s="1005"/>
      <c r="Y47" s="1002">
        <v>177357</v>
      </c>
      <c r="Z47" s="1006">
        <v>0.98711099999999996</v>
      </c>
      <c r="AA47" s="1006">
        <v>6.7302000000000001E-2</v>
      </c>
      <c r="AB47" s="1006">
        <v>1.5147000000000001E-2</v>
      </c>
      <c r="AC47" s="1007">
        <v>8.8599999999999999E-6</v>
      </c>
      <c r="AD47" s="49">
        <v>155462</v>
      </c>
      <c r="AE47" s="1009">
        <v>0.98589000000000004</v>
      </c>
      <c r="AF47" s="1009">
        <v>7.1559999999999999E-2</v>
      </c>
      <c r="AG47" s="1009">
        <v>1.5469999999999999E-2</v>
      </c>
      <c r="AH47" s="1001">
        <v>3.7400000000000002E-6</v>
      </c>
      <c r="AI47" s="1005"/>
      <c r="AJ47" s="49">
        <v>62888</v>
      </c>
      <c r="AK47" s="1009">
        <v>0.98524999999999996</v>
      </c>
      <c r="AL47" s="1009">
        <v>4.7539999999999999E-2</v>
      </c>
      <c r="AM47" s="1009">
        <v>2.3349999999999999E-2</v>
      </c>
      <c r="AN47" s="1001">
        <v>4.1799999999999997E-2</v>
      </c>
      <c r="AO47" s="1001">
        <v>0.4864</v>
      </c>
      <c r="AP47" s="1009"/>
      <c r="AQ47" s="1005"/>
      <c r="AR47" s="1002">
        <v>7086</v>
      </c>
      <c r="AS47" s="1006">
        <v>0.99692000000000003</v>
      </c>
      <c r="AT47" s="1006">
        <v>-6.9000000000000006E-2</v>
      </c>
      <c r="AU47" s="1006">
        <v>0.17570540000000001</v>
      </c>
      <c r="AV47" s="1007">
        <v>0.69453900000000002</v>
      </c>
      <c r="AW47" s="1003">
        <v>0.989873</v>
      </c>
    </row>
    <row r="48" spans="1:49" x14ac:dyDescent="0.25">
      <c r="A48" s="49" t="s">
        <v>900</v>
      </c>
      <c r="B48" s="1301"/>
      <c r="C48" s="49" t="s">
        <v>143</v>
      </c>
      <c r="D48" s="49">
        <v>12</v>
      </c>
      <c r="E48" s="49">
        <v>124265687</v>
      </c>
      <c r="F48" s="1303" t="s">
        <v>940</v>
      </c>
      <c r="G48" s="758" t="s">
        <v>144</v>
      </c>
      <c r="H48" s="1233"/>
      <c r="I48" s="49" t="s">
        <v>23</v>
      </c>
      <c r="J48" s="49" t="s">
        <v>17</v>
      </c>
      <c r="K48" s="1005"/>
      <c r="L48" s="1002">
        <v>250054</v>
      </c>
      <c r="M48" s="1006">
        <v>0.37580000000000002</v>
      </c>
      <c r="N48" s="1006">
        <v>2.9100000000000001E-2</v>
      </c>
      <c r="O48" s="1006">
        <v>3.0000000000000001E-3</v>
      </c>
      <c r="P48" s="1007">
        <v>3.0799999999999998E-22</v>
      </c>
      <c r="Q48" s="1008">
        <v>2.6799999999999998E-8</v>
      </c>
      <c r="R48" s="49">
        <v>227439</v>
      </c>
      <c r="S48" s="1009">
        <v>0.38009999999999999</v>
      </c>
      <c r="T48" s="1009">
        <v>2.9700000000000001E-2</v>
      </c>
      <c r="U48" s="1009">
        <v>3.0999999999999999E-3</v>
      </c>
      <c r="V48" s="1001">
        <v>1.9899999999999999E-21</v>
      </c>
      <c r="W48" s="1001">
        <v>3.8199999999999998E-8</v>
      </c>
      <c r="X48" s="1005"/>
      <c r="Y48" s="1002">
        <v>180131</v>
      </c>
      <c r="Z48" s="1006">
        <v>0.36760300000000001</v>
      </c>
      <c r="AA48" s="1006">
        <v>2.7629999999999998E-2</v>
      </c>
      <c r="AB48" s="1006">
        <v>3.5699999999999998E-3</v>
      </c>
      <c r="AC48" s="1007">
        <v>1E-14</v>
      </c>
      <c r="AD48" s="49">
        <v>157516</v>
      </c>
      <c r="AE48" s="1009">
        <v>0.37286999999999998</v>
      </c>
      <c r="AF48" s="1009">
        <v>2.8369999999999999E-2</v>
      </c>
      <c r="AG48" s="1009">
        <v>3.79E-3</v>
      </c>
      <c r="AH48" s="1001">
        <v>6.7099999999999999E-14</v>
      </c>
      <c r="AI48" s="1005"/>
      <c r="AJ48" s="49">
        <v>62837</v>
      </c>
      <c r="AK48" s="1009">
        <v>0.39340000000000003</v>
      </c>
      <c r="AL48" s="1009">
        <v>3.2919999999999998E-2</v>
      </c>
      <c r="AM48" s="1009">
        <v>5.7720000000000002E-3</v>
      </c>
      <c r="AN48" s="1001">
        <v>1.18E-8</v>
      </c>
      <c r="AO48" s="1001">
        <v>0.40410000000000001</v>
      </c>
      <c r="AP48" s="1009"/>
      <c r="AQ48" s="1005"/>
      <c r="AR48" s="1002">
        <v>7086</v>
      </c>
      <c r="AS48" s="1006">
        <v>0.41958000000000001</v>
      </c>
      <c r="AT48" s="1006">
        <v>2.9000000000000001E-2</v>
      </c>
      <c r="AU48" s="1006">
        <v>1.9425399999999999E-2</v>
      </c>
      <c r="AV48" s="1007">
        <v>0.135466</v>
      </c>
      <c r="AW48" s="1003">
        <v>0.99983599999999995</v>
      </c>
    </row>
    <row r="49" spans="1:49" x14ac:dyDescent="0.25">
      <c r="A49" s="49" t="s">
        <v>900</v>
      </c>
      <c r="B49" s="1301"/>
      <c r="C49" s="49" t="s">
        <v>146</v>
      </c>
      <c r="D49" s="49">
        <v>12</v>
      </c>
      <c r="E49" s="49">
        <v>124330311</v>
      </c>
      <c r="F49" s="1303"/>
      <c r="G49" s="758" t="s">
        <v>147</v>
      </c>
      <c r="H49" s="1233"/>
      <c r="I49" s="49" t="s">
        <v>17</v>
      </c>
      <c r="J49" s="49" t="s">
        <v>23</v>
      </c>
      <c r="K49" s="1005"/>
      <c r="L49" s="1002">
        <v>250066</v>
      </c>
      <c r="M49" s="1006">
        <v>0.88739999999999997</v>
      </c>
      <c r="N49" s="1006">
        <v>4.2799999999999998E-2</v>
      </c>
      <c r="O49" s="1006">
        <v>4.5999999999999999E-3</v>
      </c>
      <c r="P49" s="1007">
        <v>1.3800000000000001E-20</v>
      </c>
      <c r="Q49" s="1008">
        <v>3.1300000000000002E-8</v>
      </c>
      <c r="R49" s="49">
        <v>227451</v>
      </c>
      <c r="S49" s="1009">
        <v>0.88019999999999998</v>
      </c>
      <c r="T49" s="1009">
        <v>4.3299999999999998E-2</v>
      </c>
      <c r="U49" s="1009">
        <v>4.7000000000000002E-3</v>
      </c>
      <c r="V49" s="1001">
        <v>2.05E-20</v>
      </c>
      <c r="W49" s="1001">
        <v>3.9300000000000001E-8</v>
      </c>
      <c r="X49" s="1005"/>
      <c r="Y49" s="1002">
        <v>180131</v>
      </c>
      <c r="Z49" s="1006">
        <v>0.891594</v>
      </c>
      <c r="AA49" s="1006">
        <v>4.0619000000000002E-2</v>
      </c>
      <c r="AB49" s="1006">
        <v>5.5389999999999997E-3</v>
      </c>
      <c r="AC49" s="1007">
        <v>2.25E-13</v>
      </c>
      <c r="AD49" s="49">
        <v>157516</v>
      </c>
      <c r="AE49" s="1009">
        <v>0.88117999999999996</v>
      </c>
      <c r="AF49" s="1009">
        <v>4.1239999999999999E-2</v>
      </c>
      <c r="AG49" s="1009">
        <v>5.6699999999999997E-3</v>
      </c>
      <c r="AH49" s="1001">
        <v>3.5699999999999999E-13</v>
      </c>
      <c r="AI49" s="1005"/>
      <c r="AJ49" s="49">
        <v>62849</v>
      </c>
      <c r="AK49" s="1009">
        <v>0.87749999999999995</v>
      </c>
      <c r="AL49" s="1009">
        <v>4.956E-2</v>
      </c>
      <c r="AM49" s="1009">
        <v>8.5909999999999997E-3</v>
      </c>
      <c r="AN49" s="1001">
        <v>8.0100000000000003E-9</v>
      </c>
      <c r="AO49" s="1001">
        <v>0.90380000000000005</v>
      </c>
      <c r="AP49" s="1009"/>
      <c r="AQ49" s="1005"/>
      <c r="AR49" s="1002">
        <v>7086</v>
      </c>
      <c r="AS49" s="1006">
        <v>0.88531000000000004</v>
      </c>
      <c r="AT49" s="1006">
        <v>2.4E-2</v>
      </c>
      <c r="AU49" s="1006">
        <v>3.0335500000000001E-2</v>
      </c>
      <c r="AV49" s="1007">
        <v>0.42885499999999999</v>
      </c>
      <c r="AW49" s="1003">
        <v>0.99729800000000002</v>
      </c>
    </row>
    <row r="50" spans="1:49" x14ac:dyDescent="0.25">
      <c r="A50" s="49" t="s">
        <v>900</v>
      </c>
      <c r="B50" s="1301"/>
      <c r="C50" s="49" t="s">
        <v>149</v>
      </c>
      <c r="D50" s="49">
        <v>12</v>
      </c>
      <c r="E50" s="49">
        <v>124427306</v>
      </c>
      <c r="F50" s="954" t="s">
        <v>941</v>
      </c>
      <c r="G50" s="758" t="s">
        <v>150</v>
      </c>
      <c r="H50" s="1233"/>
      <c r="I50" s="49" t="s">
        <v>23</v>
      </c>
      <c r="J50" s="49" t="s">
        <v>16</v>
      </c>
      <c r="K50" s="1005"/>
      <c r="L50" s="1002">
        <v>244678</v>
      </c>
      <c r="M50" s="1006">
        <v>0.68899999999999995</v>
      </c>
      <c r="N50" s="1006">
        <v>4.3299999999999998E-2</v>
      </c>
      <c r="O50" s="1006">
        <v>3.2000000000000002E-3</v>
      </c>
      <c r="P50" s="1007">
        <v>1.022697E-41</v>
      </c>
      <c r="Q50" s="1008">
        <v>5.4899999999999999E-11</v>
      </c>
      <c r="R50" s="49">
        <v>223840</v>
      </c>
      <c r="S50" s="1009">
        <v>0.68430000000000002</v>
      </c>
      <c r="T50" s="1009">
        <v>4.53E-2</v>
      </c>
      <c r="U50" s="1009">
        <v>3.3E-3</v>
      </c>
      <c r="V50" s="1001">
        <v>7.3419319999999997E-51</v>
      </c>
      <c r="W50" s="1001">
        <v>7.1699999999999995E-11</v>
      </c>
      <c r="X50" s="1005"/>
      <c r="Y50" s="1002">
        <v>174781</v>
      </c>
      <c r="Z50" s="1006">
        <v>0.68915300000000002</v>
      </c>
      <c r="AA50" s="1006">
        <v>4.0289999999999999E-2</v>
      </c>
      <c r="AB50" s="1006">
        <v>3.771E-3</v>
      </c>
      <c r="AC50" s="1007">
        <v>1.21E-26</v>
      </c>
      <c r="AD50" s="49">
        <v>153943</v>
      </c>
      <c r="AE50" s="1009">
        <v>0.68227000000000004</v>
      </c>
      <c r="AF50" s="1009">
        <v>4.2849999999999999E-2</v>
      </c>
      <c r="AG50" s="1009">
        <v>3.9899999999999996E-3</v>
      </c>
      <c r="AH50" s="1001">
        <v>6.2299999999999997E-27</v>
      </c>
      <c r="AI50" s="1005"/>
      <c r="AJ50" s="49">
        <v>62811</v>
      </c>
      <c r="AK50" s="1009">
        <v>0.68869999999999998</v>
      </c>
      <c r="AL50" s="1009">
        <v>5.4100000000000002E-2</v>
      </c>
      <c r="AM50" s="1009">
        <v>6.0689999999999997E-3</v>
      </c>
      <c r="AN50" s="1001">
        <v>5.0200000000000001E-19</v>
      </c>
      <c r="AO50" s="1001">
        <v>0.50090000000000001</v>
      </c>
      <c r="AP50" s="1009"/>
      <c r="AQ50" s="1005"/>
      <c r="AR50" s="1002">
        <v>7086</v>
      </c>
      <c r="AS50" s="1006">
        <v>0.68696000000000002</v>
      </c>
      <c r="AT50" s="1006">
        <v>7.0000000000000001E-3</v>
      </c>
      <c r="AU50" s="1006">
        <v>2.0823899999999999E-2</v>
      </c>
      <c r="AV50" s="1007">
        <v>0.73675599999999997</v>
      </c>
      <c r="AW50" s="1003">
        <v>0.99996600000000002</v>
      </c>
    </row>
    <row r="51" spans="1:49" x14ac:dyDescent="0.25">
      <c r="A51" s="49" t="s">
        <v>900</v>
      </c>
      <c r="B51" s="953">
        <v>34</v>
      </c>
      <c r="C51" s="49" t="s">
        <v>246</v>
      </c>
      <c r="D51" s="49">
        <v>13</v>
      </c>
      <c r="E51" s="49">
        <v>96665697</v>
      </c>
      <c r="F51" s="954" t="s">
        <v>247</v>
      </c>
      <c r="G51" s="758" t="s">
        <v>248</v>
      </c>
      <c r="I51" s="49" t="s">
        <v>16</v>
      </c>
      <c r="J51" s="49" t="s">
        <v>24</v>
      </c>
      <c r="K51" s="1005"/>
      <c r="L51" s="1002">
        <v>221390</v>
      </c>
      <c r="M51" s="1006">
        <v>3.5999999999999999E-3</v>
      </c>
      <c r="N51" s="1006">
        <v>-4.3799999999999999E-2</v>
      </c>
      <c r="O51" s="1006">
        <v>2.7400000000000001E-2</v>
      </c>
      <c r="P51" s="1007">
        <v>0.10970000000000001</v>
      </c>
      <c r="Q51" s="1008">
        <v>1.53E-6</v>
      </c>
      <c r="R51" s="49">
        <v>201981</v>
      </c>
      <c r="S51" s="1009">
        <v>4.0000000000000001E-3</v>
      </c>
      <c r="T51" s="1009">
        <v>-5.0099999999999999E-2</v>
      </c>
      <c r="U51" s="1009">
        <v>2.75E-2</v>
      </c>
      <c r="V51" s="1001">
        <v>6.8760000000000002E-2</v>
      </c>
      <c r="W51" s="1001">
        <v>7.2600000000000002E-7</v>
      </c>
      <c r="X51" s="1005"/>
      <c r="Y51" s="1002">
        <v>158464</v>
      </c>
      <c r="Z51" s="1006">
        <v>3.8089999999999999E-3</v>
      </c>
      <c r="AA51" s="1006">
        <v>-3.0186000000000001E-2</v>
      </c>
      <c r="AB51" s="1006">
        <v>2.8826000000000001E-2</v>
      </c>
      <c r="AC51" s="1007">
        <v>0.29499999999999998</v>
      </c>
      <c r="AD51" s="49">
        <v>139055</v>
      </c>
      <c r="AE51" s="1009">
        <v>4.3E-3</v>
      </c>
      <c r="AF51" s="1009">
        <v>-3.6990000000000002E-2</v>
      </c>
      <c r="AG51" s="1009">
        <v>2.8969999999999999E-2</v>
      </c>
      <c r="AH51" s="1001">
        <v>0.20200000000000001</v>
      </c>
      <c r="AI51" s="1005"/>
      <c r="AJ51" s="49">
        <v>62926</v>
      </c>
      <c r="AK51" s="1009">
        <v>1.16E-3</v>
      </c>
      <c r="AL51" s="1009">
        <v>-0.172959</v>
      </c>
      <c r="AM51" s="1009">
        <v>8.8624700000000001E-2</v>
      </c>
      <c r="AN51" s="1001">
        <v>5.09866E-2</v>
      </c>
      <c r="AO51" s="1001"/>
      <c r="AP51" s="1009">
        <v>0.89493400000000001</v>
      </c>
      <c r="AQ51" s="1005"/>
      <c r="AR51" s="1002"/>
      <c r="AS51" s="1006"/>
      <c r="AT51" s="1006"/>
      <c r="AU51" s="1006"/>
      <c r="AV51" s="1007"/>
      <c r="AW51" s="1003"/>
    </row>
    <row r="52" spans="1:49" x14ac:dyDescent="0.25">
      <c r="A52" s="49" t="s">
        <v>900</v>
      </c>
      <c r="B52" s="953">
        <v>35</v>
      </c>
      <c r="C52" s="49" t="s">
        <v>251</v>
      </c>
      <c r="D52" s="49">
        <v>14</v>
      </c>
      <c r="E52" s="49">
        <v>23312594</v>
      </c>
      <c r="F52" s="954" t="s">
        <v>252</v>
      </c>
      <c r="G52" s="758" t="s">
        <v>253</v>
      </c>
      <c r="I52" s="49" t="s">
        <v>16</v>
      </c>
      <c r="J52" s="49" t="s">
        <v>24</v>
      </c>
      <c r="K52" s="1005"/>
      <c r="L52" s="1002">
        <v>250018</v>
      </c>
      <c r="M52" s="1006">
        <v>0.1966</v>
      </c>
      <c r="N52" s="1006">
        <v>1.9E-3</v>
      </c>
      <c r="O52" s="1006">
        <v>3.5999999999999999E-3</v>
      </c>
      <c r="P52" s="1007">
        <v>0.60629999999999995</v>
      </c>
      <c r="Q52" s="1008">
        <v>2.6069999999999999E-4</v>
      </c>
      <c r="R52" s="49">
        <v>227403</v>
      </c>
      <c r="S52" s="1009">
        <v>0.20649999999999999</v>
      </c>
      <c r="T52" s="1009">
        <v>3.0000000000000001E-3</v>
      </c>
      <c r="U52" s="1009">
        <v>3.7000000000000002E-3</v>
      </c>
      <c r="V52" s="1001">
        <v>0.42470000000000002</v>
      </c>
      <c r="W52" s="1001">
        <v>7.3760000000000004E-4</v>
      </c>
      <c r="X52" s="1005"/>
      <c r="Y52" s="1002">
        <v>180131</v>
      </c>
      <c r="Z52" s="1006">
        <v>0.189168</v>
      </c>
      <c r="AA52" s="1006">
        <v>1.534E-3</v>
      </c>
      <c r="AB52" s="1006">
        <v>4.3670000000000002E-3</v>
      </c>
      <c r="AC52" s="1007">
        <v>0.72499999999999998</v>
      </c>
      <c r="AD52" s="49">
        <v>157516</v>
      </c>
      <c r="AE52" s="1009">
        <v>0.20322000000000001</v>
      </c>
      <c r="AF52" s="1009">
        <v>3.13E-3</v>
      </c>
      <c r="AG52" s="1009">
        <v>4.5199999999999997E-3</v>
      </c>
      <c r="AH52" s="1001">
        <v>0.48799999999999999</v>
      </c>
      <c r="AI52" s="1005"/>
      <c r="AJ52" s="49">
        <v>62801</v>
      </c>
      <c r="AK52" s="1009">
        <v>0.2162</v>
      </c>
      <c r="AL52" s="1009">
        <v>2.5950000000000001E-3</v>
      </c>
      <c r="AM52" s="1009">
        <v>6.8799999999999998E-3</v>
      </c>
      <c r="AN52" s="1001">
        <v>0.70609999999999995</v>
      </c>
      <c r="AO52" s="1001">
        <v>0.19839999999999999</v>
      </c>
      <c r="AP52" s="1009"/>
      <c r="AQ52" s="1005"/>
      <c r="AR52" s="1002">
        <v>7086</v>
      </c>
      <c r="AS52" s="1006">
        <v>0.18521000000000001</v>
      </c>
      <c r="AT52" s="1006">
        <v>3.0000000000000001E-3</v>
      </c>
      <c r="AU52" s="1006">
        <v>2.1346E-2</v>
      </c>
      <c r="AV52" s="1007">
        <v>0.88823200000000002</v>
      </c>
      <c r="AW52" s="1003">
        <v>0.996977</v>
      </c>
    </row>
    <row r="53" spans="1:49" x14ac:dyDescent="0.25">
      <c r="A53" s="49" t="s">
        <v>900</v>
      </c>
      <c r="B53" s="953">
        <v>36</v>
      </c>
      <c r="C53" s="49" t="s">
        <v>219</v>
      </c>
      <c r="D53" s="49">
        <v>14</v>
      </c>
      <c r="E53" s="49">
        <v>58838668</v>
      </c>
      <c r="F53" s="954" t="s">
        <v>220</v>
      </c>
      <c r="G53" s="758" t="s">
        <v>96</v>
      </c>
      <c r="I53" s="49" t="s">
        <v>16</v>
      </c>
      <c r="J53" s="49" t="s">
        <v>24</v>
      </c>
      <c r="K53" s="1005"/>
      <c r="L53" s="1002">
        <v>224191</v>
      </c>
      <c r="M53" s="1006">
        <v>0.41739999999999999</v>
      </c>
      <c r="N53" s="1006">
        <v>1.44E-2</v>
      </c>
      <c r="O53" s="1006">
        <v>3.0999999999999999E-3</v>
      </c>
      <c r="P53" s="1007">
        <v>3.6799999999999999E-6</v>
      </c>
      <c r="Q53" s="1008">
        <v>0.123918</v>
      </c>
      <c r="R53" s="49">
        <v>201959</v>
      </c>
      <c r="S53" s="1009">
        <v>0.40860000000000002</v>
      </c>
      <c r="T53" s="1009">
        <v>1.6799999999999999E-2</v>
      </c>
      <c r="U53" s="1009">
        <v>3.3E-3</v>
      </c>
      <c r="V53" s="1001">
        <v>2.9499999999999998E-7</v>
      </c>
      <c r="W53" s="1001">
        <v>0.126083</v>
      </c>
      <c r="X53" s="1005"/>
      <c r="Y53" s="1002">
        <v>154179</v>
      </c>
      <c r="Z53" s="1006">
        <v>0.42064800000000002</v>
      </c>
      <c r="AA53" s="1006">
        <v>1.5755999999999999E-2</v>
      </c>
      <c r="AB53" s="1006">
        <v>3.79E-3</v>
      </c>
      <c r="AC53" s="1007">
        <v>3.2100000000000001E-5</v>
      </c>
      <c r="AD53" s="49">
        <v>131947</v>
      </c>
      <c r="AE53" s="1009">
        <v>0.40738000000000002</v>
      </c>
      <c r="AF53" s="1009">
        <v>1.9730000000000001E-2</v>
      </c>
      <c r="AG53" s="1009">
        <v>4.1000000000000003E-3</v>
      </c>
      <c r="AH53" s="1001">
        <v>1.53E-6</v>
      </c>
      <c r="AI53" s="1005"/>
      <c r="AJ53" s="49">
        <v>62926</v>
      </c>
      <c r="AK53" s="1009">
        <v>0.41377000000000003</v>
      </c>
      <c r="AL53" s="1009">
        <v>1.03923E-2</v>
      </c>
      <c r="AM53" s="1009">
        <v>5.7111000000000002E-3</v>
      </c>
      <c r="AN53" s="1001">
        <v>6.8813399999999997E-2</v>
      </c>
      <c r="AO53" s="1001"/>
      <c r="AP53" s="1009">
        <v>0.99512800000000001</v>
      </c>
      <c r="AQ53" s="1005"/>
      <c r="AR53" s="1002">
        <v>7086</v>
      </c>
      <c r="AS53" s="1006">
        <v>0.37486000000000003</v>
      </c>
      <c r="AT53" s="1006">
        <v>2.5999999999999999E-2</v>
      </c>
      <c r="AU53" s="1006">
        <v>1.9308200000000001E-2</v>
      </c>
      <c r="AV53" s="1007">
        <v>0.178117</v>
      </c>
      <c r="AW53" s="1003">
        <v>0.99994499999999997</v>
      </c>
    </row>
    <row r="54" spans="1:49" x14ac:dyDescent="0.25">
      <c r="A54" s="49" t="s">
        <v>900</v>
      </c>
      <c r="B54" s="953">
        <v>37</v>
      </c>
      <c r="C54" s="49" t="s">
        <v>942</v>
      </c>
      <c r="D54" s="49">
        <v>14</v>
      </c>
      <c r="E54" s="49">
        <v>99876522</v>
      </c>
      <c r="F54" s="954" t="s">
        <v>943</v>
      </c>
      <c r="G54" s="758" t="s">
        <v>944</v>
      </c>
      <c r="I54" s="49" t="s">
        <v>17</v>
      </c>
      <c r="J54" s="49" t="s">
        <v>23</v>
      </c>
      <c r="K54" s="1005"/>
      <c r="L54" s="1002">
        <v>161420</v>
      </c>
      <c r="M54" s="1006">
        <v>0.99990000000000001</v>
      </c>
      <c r="N54" s="1006">
        <v>0.92830000000000001</v>
      </c>
      <c r="O54" s="1006">
        <v>0.17929999999999999</v>
      </c>
      <c r="P54" s="1007">
        <v>2.2399999999999999E-7</v>
      </c>
      <c r="Q54" s="1008">
        <v>6.1260000000000004E-3</v>
      </c>
      <c r="R54" s="49">
        <v>141628</v>
      </c>
      <c r="S54" s="1009">
        <v>0.99990000000000001</v>
      </c>
      <c r="T54" s="1009">
        <v>0.9768</v>
      </c>
      <c r="U54" s="1009">
        <v>0.18859999999999999</v>
      </c>
      <c r="V54" s="1001">
        <v>2.2399999999999999E-7</v>
      </c>
      <c r="W54" s="1001">
        <v>6.0023999999999997E-3</v>
      </c>
      <c r="X54" s="1005"/>
      <c r="Y54" s="1002">
        <v>161420</v>
      </c>
      <c r="Z54" s="1006">
        <v>0.99990800000000002</v>
      </c>
      <c r="AA54" s="1006">
        <v>0.92833399999999999</v>
      </c>
      <c r="AB54" s="1006">
        <v>0.17927399999999999</v>
      </c>
      <c r="AC54" s="1007">
        <v>2.2399999999999999E-7</v>
      </c>
      <c r="AD54" s="49">
        <v>141628</v>
      </c>
      <c r="AE54" s="1009">
        <v>0.99990999999999997</v>
      </c>
      <c r="AF54" s="1009">
        <v>0.97677000000000003</v>
      </c>
      <c r="AG54" s="1009">
        <v>0.18864</v>
      </c>
      <c r="AH54" s="1001">
        <v>2.2399999999999999E-7</v>
      </c>
      <c r="AI54" s="1005"/>
      <c r="AK54" s="1009"/>
      <c r="AL54" s="1009"/>
      <c r="AM54" s="1009"/>
      <c r="AN54" s="1001"/>
      <c r="AO54" s="1001"/>
      <c r="AP54" s="1009"/>
      <c r="AQ54" s="1005"/>
      <c r="AR54" s="1002"/>
      <c r="AS54" s="1006"/>
      <c r="AT54" s="1006"/>
      <c r="AU54" s="1006"/>
      <c r="AV54" s="1007"/>
      <c r="AW54" s="1003"/>
    </row>
    <row r="55" spans="1:49" x14ac:dyDescent="0.25">
      <c r="A55" s="49" t="s">
        <v>900</v>
      </c>
      <c r="B55" s="1301">
        <v>38</v>
      </c>
      <c r="C55" s="49" t="s">
        <v>152</v>
      </c>
      <c r="D55" s="49">
        <v>15</v>
      </c>
      <c r="E55" s="49">
        <v>42032383</v>
      </c>
      <c r="F55" s="954" t="s">
        <v>153</v>
      </c>
      <c r="G55" s="758" t="s">
        <v>154</v>
      </c>
      <c r="I55" s="49" t="s">
        <v>24</v>
      </c>
      <c r="J55" s="49" t="s">
        <v>17</v>
      </c>
      <c r="K55" s="1005"/>
      <c r="L55" s="1002">
        <v>246646</v>
      </c>
      <c r="M55" s="1006">
        <v>0.34420000000000001</v>
      </c>
      <c r="N55" s="1006">
        <v>1.49E-2</v>
      </c>
      <c r="O55" s="1006">
        <v>3.0999999999999999E-3</v>
      </c>
      <c r="P55" s="1007">
        <v>1.68E-6</v>
      </c>
      <c r="Q55" s="1008">
        <v>0.90847120000000003</v>
      </c>
      <c r="R55" s="49">
        <v>224031</v>
      </c>
      <c r="S55" s="1009">
        <v>0.35220000000000001</v>
      </c>
      <c r="T55" s="1009">
        <v>1.6500000000000001E-2</v>
      </c>
      <c r="U55" s="1009">
        <v>3.2000000000000002E-3</v>
      </c>
      <c r="V55" s="1001">
        <v>3.6100000000000002E-7</v>
      </c>
      <c r="W55" s="1001">
        <v>0.93118140000000005</v>
      </c>
      <c r="X55" s="1005"/>
      <c r="Y55" s="1002">
        <v>176948</v>
      </c>
      <c r="Z55" s="1006">
        <v>0.34297100000000003</v>
      </c>
      <c r="AA55" s="1006">
        <v>1.5823E-2</v>
      </c>
      <c r="AB55" s="1006">
        <v>3.7160000000000001E-3</v>
      </c>
      <c r="AC55" s="1007">
        <v>2.0599999999999999E-5</v>
      </c>
      <c r="AD55" s="49">
        <v>154333</v>
      </c>
      <c r="AE55" s="1009">
        <v>0.35460999999999998</v>
      </c>
      <c r="AF55" s="1009">
        <v>1.8329999999999999E-2</v>
      </c>
      <c r="AG55" s="1009">
        <v>3.9500000000000004E-3</v>
      </c>
      <c r="AH55" s="1001">
        <v>3.4699999999999998E-6</v>
      </c>
      <c r="AI55" s="1005"/>
      <c r="AJ55" s="49">
        <v>62612</v>
      </c>
      <c r="AK55" s="1009">
        <v>0.34549999999999997</v>
      </c>
      <c r="AL55" s="1009">
        <v>1.6299999999999999E-2</v>
      </c>
      <c r="AM55" s="1009">
        <v>5.9420000000000002E-3</v>
      </c>
      <c r="AN55" s="1001">
        <v>6.0910000000000001E-3</v>
      </c>
      <c r="AO55" s="1001">
        <v>0.62270000000000003</v>
      </c>
      <c r="AP55" s="1009"/>
      <c r="AQ55" s="1005"/>
      <c r="AR55" s="1002">
        <v>7086</v>
      </c>
      <c r="AS55" s="1006">
        <v>0.36575000000000002</v>
      </c>
      <c r="AT55" s="1006">
        <v>-2.8000000000000001E-2</v>
      </c>
      <c r="AU55" s="1006">
        <v>2.0138799999999998E-2</v>
      </c>
      <c r="AV55" s="1007">
        <v>0.16442200000000001</v>
      </c>
      <c r="AW55" s="1003">
        <v>0.99997599999999998</v>
      </c>
    </row>
    <row r="56" spans="1:49" x14ac:dyDescent="0.25">
      <c r="A56" s="49" t="s">
        <v>900</v>
      </c>
      <c r="B56" s="1301"/>
      <c r="C56" s="49" t="s">
        <v>222</v>
      </c>
      <c r="D56" s="49">
        <v>15</v>
      </c>
      <c r="E56" s="49">
        <v>42115747</v>
      </c>
      <c r="F56" s="954" t="s">
        <v>223</v>
      </c>
      <c r="G56" s="758" t="s">
        <v>224</v>
      </c>
      <c r="I56" s="49" t="s">
        <v>17</v>
      </c>
      <c r="J56" s="49" t="s">
        <v>24</v>
      </c>
      <c r="K56" s="1005"/>
      <c r="L56" s="1002">
        <v>153045</v>
      </c>
      <c r="M56" s="1006">
        <v>0.31559999999999999</v>
      </c>
      <c r="N56" s="1006">
        <v>1.6400000000000001E-2</v>
      </c>
      <c r="O56" s="1006">
        <v>4.1000000000000003E-3</v>
      </c>
      <c r="P56" s="1007">
        <v>5.3600000000000002E-5</v>
      </c>
      <c r="Q56" s="1008">
        <v>0.41386669999999998</v>
      </c>
      <c r="R56" s="49">
        <v>140553</v>
      </c>
      <c r="S56" s="1009">
        <v>0.34799999999999998</v>
      </c>
      <c r="T56" s="1009">
        <v>1.8700000000000001E-2</v>
      </c>
      <c r="U56" s="1009">
        <v>4.1999999999999997E-3</v>
      </c>
      <c r="V56" s="1001">
        <v>7.8499999999999994E-6</v>
      </c>
      <c r="W56" s="1001">
        <v>0.63485380000000002</v>
      </c>
      <c r="X56" s="1005"/>
      <c r="Y56" s="1002">
        <v>83087</v>
      </c>
      <c r="Z56" s="1006">
        <v>0.29551500000000003</v>
      </c>
      <c r="AA56" s="1006">
        <v>1.7708000000000002E-2</v>
      </c>
      <c r="AB56" s="1006">
        <v>5.7800000000000004E-3</v>
      </c>
      <c r="AC56" s="1007">
        <v>2.1900000000000001E-3</v>
      </c>
      <c r="AD56" s="49">
        <v>70595</v>
      </c>
      <c r="AE56" s="1009">
        <v>0.36246</v>
      </c>
      <c r="AF56" s="1009">
        <v>2.265E-2</v>
      </c>
      <c r="AG56" s="1009">
        <v>6.11E-3</v>
      </c>
      <c r="AH56" s="1001">
        <v>2.1100000000000001E-4</v>
      </c>
      <c r="AI56" s="1005"/>
      <c r="AJ56" s="49">
        <v>62872</v>
      </c>
      <c r="AK56" s="1009">
        <v>0.33400000000000002</v>
      </c>
      <c r="AL56" s="1009">
        <v>1.8689999999999998E-2</v>
      </c>
      <c r="AM56" s="1009">
        <v>5.9690000000000003E-3</v>
      </c>
      <c r="AN56" s="1001">
        <v>1.7390000000000001E-3</v>
      </c>
      <c r="AO56" s="1001">
        <v>0.81040000000000001</v>
      </c>
      <c r="AP56" s="1009"/>
      <c r="AQ56" s="1005"/>
      <c r="AR56" s="1002">
        <v>7086</v>
      </c>
      <c r="AS56" s="1006">
        <v>0.34955999999999998</v>
      </c>
      <c r="AT56" s="1006">
        <v>-2.5000000000000001E-2</v>
      </c>
      <c r="AU56" s="1006">
        <v>2.01794E-2</v>
      </c>
      <c r="AV56" s="1007">
        <v>0.215388</v>
      </c>
      <c r="AW56" s="1003">
        <v>0.99975599999999998</v>
      </c>
    </row>
    <row r="57" spans="1:49" x14ac:dyDescent="0.25">
      <c r="A57" s="49" t="s">
        <v>900</v>
      </c>
      <c r="B57" s="1301"/>
      <c r="C57" s="49" t="s">
        <v>945</v>
      </c>
      <c r="D57" s="49">
        <v>15</v>
      </c>
      <c r="E57" s="49">
        <v>42166500</v>
      </c>
      <c r="F57" s="954" t="s">
        <v>946</v>
      </c>
      <c r="G57" s="758" t="s">
        <v>947</v>
      </c>
      <c r="I57" s="49" t="s">
        <v>23</v>
      </c>
      <c r="J57" s="49" t="s">
        <v>17</v>
      </c>
      <c r="K57" s="1005"/>
      <c r="L57" s="1002">
        <v>242844</v>
      </c>
      <c r="M57" s="1006">
        <v>0.43159999999999998</v>
      </c>
      <c r="N57" s="1006">
        <v>1.44E-2</v>
      </c>
      <c r="O57" s="1006">
        <v>3.0999999999999999E-3</v>
      </c>
      <c r="P57" s="1007">
        <v>2.57E-6</v>
      </c>
      <c r="Q57" s="1008">
        <v>3.4396299999999998E-2</v>
      </c>
      <c r="R57" s="49">
        <v>220229</v>
      </c>
      <c r="S57" s="1009">
        <v>0.441</v>
      </c>
      <c r="T57" s="1009">
        <v>1.3899999999999999E-2</v>
      </c>
      <c r="U57" s="1009">
        <v>3.2000000000000002E-3</v>
      </c>
      <c r="V57" s="1001">
        <v>1.2E-5</v>
      </c>
      <c r="W57" s="1001">
        <v>0.1477996</v>
      </c>
      <c r="X57" s="1005"/>
      <c r="Y57" s="1002">
        <v>173023</v>
      </c>
      <c r="Z57" s="1006">
        <v>0.42618899999999998</v>
      </c>
      <c r="AA57" s="1006">
        <v>1.8062000000000002E-2</v>
      </c>
      <c r="AB57" s="1006">
        <v>3.6970000000000002E-3</v>
      </c>
      <c r="AC57" s="1007">
        <v>1.0300000000000001E-6</v>
      </c>
      <c r="AD57" s="49">
        <v>150408</v>
      </c>
      <c r="AE57" s="1009">
        <v>0.43983</v>
      </c>
      <c r="AF57" s="1009">
        <v>1.7659999999999999E-2</v>
      </c>
      <c r="AG57" s="1009">
        <v>3.8899999999999998E-3</v>
      </c>
      <c r="AH57" s="1001">
        <v>5.7799999999999997E-6</v>
      </c>
      <c r="AI57" s="1005"/>
      <c r="AJ57" s="49">
        <v>62735</v>
      </c>
      <c r="AK57" s="1009">
        <v>0.441</v>
      </c>
      <c r="AL57" s="1009">
        <v>1.205E-2</v>
      </c>
      <c r="AM57" s="1009">
        <v>5.672E-3</v>
      </c>
      <c r="AN57" s="1001">
        <v>3.3680000000000002E-2</v>
      </c>
      <c r="AO57" s="1001">
        <v>0.61040000000000005</v>
      </c>
      <c r="AP57" s="1009"/>
      <c r="AQ57" s="1005"/>
      <c r="AR57" s="1002">
        <v>7086</v>
      </c>
      <c r="AS57" s="1006">
        <v>0.46776000000000001</v>
      </c>
      <c r="AT57" s="1006">
        <v>-5.8000000000000003E-2</v>
      </c>
      <c r="AU57" s="1006">
        <v>1.91559E-2</v>
      </c>
      <c r="AV57" s="1007">
        <v>2.4634000000000001E-3</v>
      </c>
      <c r="AW57" s="1003">
        <v>0.99922</v>
      </c>
    </row>
    <row r="58" spans="1:49" x14ac:dyDescent="0.25">
      <c r="A58" s="49" t="s">
        <v>900</v>
      </c>
      <c r="B58" s="953">
        <v>39</v>
      </c>
      <c r="C58" s="49" t="s">
        <v>156</v>
      </c>
      <c r="D58" s="49">
        <v>15</v>
      </c>
      <c r="E58" s="49">
        <v>56756285</v>
      </c>
      <c r="F58" s="954" t="s">
        <v>157</v>
      </c>
      <c r="G58" s="758" t="s">
        <v>158</v>
      </c>
      <c r="H58" s="943" t="s">
        <v>159</v>
      </c>
      <c r="I58" s="49" t="s">
        <v>24</v>
      </c>
      <c r="J58" s="49" t="s">
        <v>23</v>
      </c>
      <c r="K58" s="1005"/>
      <c r="L58" s="1002">
        <v>249995</v>
      </c>
      <c r="M58" s="1006">
        <v>9.8100000000000007E-2</v>
      </c>
      <c r="N58" s="1006">
        <v>0.03</v>
      </c>
      <c r="O58" s="1006">
        <v>4.8999999999999998E-3</v>
      </c>
      <c r="P58" s="1007">
        <v>7.0299999999999995E-10</v>
      </c>
      <c r="Q58" s="1008">
        <v>2.7159900000000001E-2</v>
      </c>
      <c r="R58" s="49">
        <v>227380</v>
      </c>
      <c r="S58" s="1009">
        <v>0.1027</v>
      </c>
      <c r="T58" s="1009">
        <v>2.93E-2</v>
      </c>
      <c r="U58" s="1009">
        <v>5.0000000000000001E-3</v>
      </c>
      <c r="V58" s="1001">
        <v>4.1299999999999996E-9</v>
      </c>
      <c r="W58" s="1001">
        <v>6.5767099999999995E-2</v>
      </c>
      <c r="X58" s="1005"/>
      <c r="Y58" s="1002">
        <v>180131</v>
      </c>
      <c r="Z58" s="1006">
        <v>9.5852000000000007E-2</v>
      </c>
      <c r="AA58" s="1006">
        <v>2.6563E-2</v>
      </c>
      <c r="AB58" s="1006">
        <v>5.8129999999999996E-3</v>
      </c>
      <c r="AC58" s="1007">
        <v>4.8799999999999999E-6</v>
      </c>
      <c r="AD58" s="49">
        <v>157516</v>
      </c>
      <c r="AE58" s="1009">
        <v>0.10242</v>
      </c>
      <c r="AF58" s="1009">
        <v>2.5340000000000001E-2</v>
      </c>
      <c r="AG58" s="1009">
        <v>6.0299999999999998E-3</v>
      </c>
      <c r="AH58" s="1001">
        <v>2.65E-5</v>
      </c>
      <c r="AI58" s="1005"/>
      <c r="AJ58" s="49">
        <v>62778</v>
      </c>
      <c r="AK58" s="1009">
        <v>0.105</v>
      </c>
      <c r="AL58" s="1009">
        <v>3.7510000000000002E-2</v>
      </c>
      <c r="AM58" s="1009">
        <v>9.1780000000000004E-3</v>
      </c>
      <c r="AN58" s="1001">
        <v>4.3900000000000003E-5</v>
      </c>
      <c r="AO58" s="1001">
        <v>0.54930000000000001</v>
      </c>
      <c r="AP58" s="1009"/>
      <c r="AQ58" s="1005"/>
      <c r="AR58" s="1002">
        <v>7086</v>
      </c>
      <c r="AS58" s="1006">
        <v>8.0699999999999994E-2</v>
      </c>
      <c r="AT58" s="1006">
        <v>4.3999999999999997E-2</v>
      </c>
      <c r="AU58" s="1006">
        <v>3.4678399999999998E-2</v>
      </c>
      <c r="AV58" s="1007">
        <v>0.204512</v>
      </c>
      <c r="AW58" s="1003">
        <v>0.99902199999999997</v>
      </c>
    </row>
    <row r="59" spans="1:49" x14ac:dyDescent="0.25">
      <c r="A59" s="49" t="s">
        <v>900</v>
      </c>
      <c r="B59" s="1301">
        <v>40</v>
      </c>
      <c r="C59" s="49" t="s">
        <v>161</v>
      </c>
      <c r="D59" s="49">
        <v>16</v>
      </c>
      <c r="E59" s="49">
        <v>4432029</v>
      </c>
      <c r="F59" s="954" t="s">
        <v>948</v>
      </c>
      <c r="G59" s="758" t="s">
        <v>162</v>
      </c>
      <c r="I59" s="49" t="s">
        <v>16</v>
      </c>
      <c r="J59" s="49" t="s">
        <v>17</v>
      </c>
      <c r="K59" s="1005"/>
      <c r="L59" s="1002">
        <v>217116</v>
      </c>
      <c r="M59" s="1006">
        <v>0.2293</v>
      </c>
      <c r="N59" s="1006">
        <v>1.8499999999999999E-2</v>
      </c>
      <c r="O59" s="1006">
        <v>3.7000000000000002E-3</v>
      </c>
      <c r="P59" s="1007">
        <v>5.7299999999999996E-7</v>
      </c>
      <c r="Q59" s="1008">
        <v>0.32585209999999998</v>
      </c>
      <c r="R59" s="49">
        <v>202784</v>
      </c>
      <c r="S59" s="1009">
        <v>0.2223</v>
      </c>
      <c r="T59" s="1009">
        <v>1.7899999999999999E-2</v>
      </c>
      <c r="U59" s="1009">
        <v>3.8999999999999998E-3</v>
      </c>
      <c r="V59" s="1001">
        <v>3.6399999999999999E-6</v>
      </c>
      <c r="W59" s="1001">
        <v>0.43192409999999998</v>
      </c>
      <c r="X59" s="1005"/>
      <c r="Y59" s="1002">
        <v>147335</v>
      </c>
      <c r="Z59" s="1006">
        <v>0.23069500000000001</v>
      </c>
      <c r="AA59" s="1006">
        <v>2.5062000000000001E-2</v>
      </c>
      <c r="AB59" s="1006">
        <v>4.5069999999999997E-3</v>
      </c>
      <c r="AC59" s="1007">
        <v>2.6899999999999999E-8</v>
      </c>
      <c r="AD59" s="49">
        <v>133003</v>
      </c>
      <c r="AE59" s="1009">
        <v>0.22008</v>
      </c>
      <c r="AF59" s="1009">
        <v>2.5020000000000001E-2</v>
      </c>
      <c r="AG59" s="1009">
        <v>4.81E-3</v>
      </c>
      <c r="AH59" s="1001">
        <v>1.9399999999999999E-7</v>
      </c>
      <c r="AI59" s="1005"/>
      <c r="AJ59" s="49">
        <v>62695</v>
      </c>
      <c r="AK59" s="1009">
        <v>0.2261</v>
      </c>
      <c r="AL59" s="1009">
        <v>7.7510000000000001E-3</v>
      </c>
      <c r="AM59" s="1009">
        <v>6.7609999999999996E-3</v>
      </c>
      <c r="AN59" s="1001">
        <v>0.25159999999999999</v>
      </c>
      <c r="AO59" s="1001">
        <v>1.074E-2</v>
      </c>
      <c r="AP59" s="1009"/>
      <c r="AQ59" s="1005"/>
      <c r="AR59" s="1002">
        <v>7086</v>
      </c>
      <c r="AS59" s="1006">
        <v>0.22875999999999999</v>
      </c>
      <c r="AT59" s="1006">
        <v>-2.5999999999999999E-2</v>
      </c>
      <c r="AU59" s="1006">
        <v>2.2456400000000001E-2</v>
      </c>
      <c r="AV59" s="1007">
        <v>0.246945</v>
      </c>
      <c r="AW59" s="1003">
        <v>0.99853499999999995</v>
      </c>
    </row>
    <row r="60" spans="1:49" x14ac:dyDescent="0.25">
      <c r="A60" s="49" t="s">
        <v>900</v>
      </c>
      <c r="B60" s="1301"/>
      <c r="C60" s="49" t="s">
        <v>164</v>
      </c>
      <c r="D60" s="49">
        <v>16</v>
      </c>
      <c r="E60" s="49">
        <v>4445327</v>
      </c>
      <c r="F60" s="954" t="s">
        <v>949</v>
      </c>
      <c r="G60" s="758" t="s">
        <v>165</v>
      </c>
      <c r="I60" s="49" t="s">
        <v>17</v>
      </c>
      <c r="J60" s="49" t="s">
        <v>23</v>
      </c>
      <c r="K60" s="1005"/>
      <c r="L60" s="1002">
        <v>244593</v>
      </c>
      <c r="M60" s="1006">
        <v>0.30120000000000002</v>
      </c>
      <c r="N60" s="1006">
        <v>2.2100000000000002E-2</v>
      </c>
      <c r="O60" s="1006">
        <v>3.3E-3</v>
      </c>
      <c r="P60" s="1007">
        <v>1.7599999999999999E-11</v>
      </c>
      <c r="Q60" s="1008">
        <v>4.3266300000000001E-2</v>
      </c>
      <c r="R60" s="49">
        <v>226259</v>
      </c>
      <c r="S60" s="1009">
        <v>0.27689999999999998</v>
      </c>
      <c r="T60" s="1009">
        <v>2.2499999999999999E-2</v>
      </c>
      <c r="U60" s="1009">
        <v>3.3999999999999998E-3</v>
      </c>
      <c r="V60" s="1001">
        <v>4.0699999999999999E-11</v>
      </c>
      <c r="W60" s="1001">
        <v>4.8309900000000003E-2</v>
      </c>
      <c r="X60" s="1005"/>
      <c r="Y60" s="1002">
        <v>174665</v>
      </c>
      <c r="Z60" s="1006">
        <v>0.31017400000000001</v>
      </c>
      <c r="AA60" s="1006">
        <v>2.3163E-2</v>
      </c>
      <c r="AB60" s="1006">
        <v>3.9290000000000002E-3</v>
      </c>
      <c r="AC60" s="1007">
        <v>3.7499999999999997E-9</v>
      </c>
      <c r="AD60" s="49">
        <v>156331</v>
      </c>
      <c r="AE60" s="1009">
        <v>0.27527000000000001</v>
      </c>
      <c r="AF60" s="1009">
        <v>2.392E-2</v>
      </c>
      <c r="AG60" s="1009">
        <v>4.15E-3</v>
      </c>
      <c r="AH60" s="1001">
        <v>8.0499999999999993E-9</v>
      </c>
      <c r="AI60" s="1005"/>
      <c r="AJ60" s="49">
        <v>62842</v>
      </c>
      <c r="AK60" s="1009">
        <v>0.28120000000000001</v>
      </c>
      <c r="AL60" s="1009">
        <v>2.3120000000000002E-2</v>
      </c>
      <c r="AM60" s="1009">
        <v>6.2509999999999996E-3</v>
      </c>
      <c r="AN60" s="1001">
        <v>2.164E-4</v>
      </c>
      <c r="AO60" s="1001">
        <v>0.38779999999999998</v>
      </c>
      <c r="AP60" s="1009"/>
      <c r="AQ60" s="1005"/>
      <c r="AR60" s="1002">
        <v>7086</v>
      </c>
      <c r="AS60" s="1006">
        <v>0.27088000000000001</v>
      </c>
      <c r="AT60" s="1006">
        <v>-2.1000000000000001E-2</v>
      </c>
      <c r="AU60" s="1006">
        <v>2.1320100000000002E-2</v>
      </c>
      <c r="AV60" s="1007">
        <v>0.32462999999999997</v>
      </c>
      <c r="AW60" s="1003">
        <v>0.99955700000000003</v>
      </c>
    </row>
    <row r="61" spans="1:49" x14ac:dyDescent="0.25">
      <c r="A61" s="49" t="s">
        <v>900</v>
      </c>
      <c r="B61" s="1301"/>
      <c r="C61" s="49" t="s">
        <v>167</v>
      </c>
      <c r="D61" s="49">
        <v>16</v>
      </c>
      <c r="E61" s="49">
        <v>4484396</v>
      </c>
      <c r="F61" s="954" t="s">
        <v>950</v>
      </c>
      <c r="G61" s="758" t="s">
        <v>168</v>
      </c>
      <c r="I61" s="49" t="s">
        <v>16</v>
      </c>
      <c r="J61" s="49" t="s">
        <v>23</v>
      </c>
      <c r="K61" s="1005"/>
      <c r="L61" s="1002">
        <v>236968</v>
      </c>
      <c r="M61" s="1006">
        <v>0.28210000000000002</v>
      </c>
      <c r="N61" s="1006">
        <v>1.8499999999999999E-2</v>
      </c>
      <c r="O61" s="1006">
        <v>3.3E-3</v>
      </c>
      <c r="P61" s="1007">
        <v>2.6899999999999999E-8</v>
      </c>
      <c r="Q61" s="1008">
        <v>0.14241229999999999</v>
      </c>
      <c r="R61" s="49">
        <v>218634</v>
      </c>
      <c r="S61" s="1009">
        <v>0.27550000000000002</v>
      </c>
      <c r="T61" s="1009">
        <v>1.89E-2</v>
      </c>
      <c r="U61" s="1009">
        <v>3.5000000000000001E-3</v>
      </c>
      <c r="V61" s="1001">
        <v>5.3799999999999999E-8</v>
      </c>
      <c r="W61" s="1001">
        <v>0.26770949999999999</v>
      </c>
      <c r="X61" s="1005"/>
      <c r="Y61" s="1002">
        <v>167110</v>
      </c>
      <c r="Z61" s="1006">
        <v>0.28409899999999999</v>
      </c>
      <c r="AA61" s="1006">
        <v>2.0160000000000001E-2</v>
      </c>
      <c r="AB61" s="1006">
        <v>3.9769999999999996E-3</v>
      </c>
      <c r="AC61" s="1007">
        <v>3.9900000000000001E-7</v>
      </c>
      <c r="AD61" s="49">
        <v>148776</v>
      </c>
      <c r="AE61" s="1009">
        <v>0.27445000000000003</v>
      </c>
      <c r="AF61" s="1009">
        <v>2.1100000000000001E-2</v>
      </c>
      <c r="AG61" s="1009">
        <v>4.2599999999999999E-3</v>
      </c>
      <c r="AH61" s="1001">
        <v>7.1600000000000001E-7</v>
      </c>
      <c r="AI61" s="1005"/>
      <c r="AJ61" s="49">
        <v>62772</v>
      </c>
      <c r="AK61" s="1009">
        <v>0.27910000000000001</v>
      </c>
      <c r="AL61" s="1009">
        <v>1.7659999999999999E-2</v>
      </c>
      <c r="AM61" s="1009">
        <v>6.2870000000000001E-3</v>
      </c>
      <c r="AN61" s="1001">
        <v>4.9709999999999997E-3</v>
      </c>
      <c r="AO61" s="1001">
        <v>0.3548</v>
      </c>
      <c r="AP61" s="1009"/>
      <c r="AQ61" s="1005"/>
      <c r="AR61" s="1002">
        <v>7086</v>
      </c>
      <c r="AS61" s="1006">
        <v>0.25802000000000003</v>
      </c>
      <c r="AT61" s="1006">
        <v>-2.3E-2</v>
      </c>
      <c r="AU61" s="1006">
        <v>2.19594E-2</v>
      </c>
      <c r="AV61" s="1007">
        <v>0.29492200000000002</v>
      </c>
      <c r="AW61" s="1003">
        <v>0.99996099999999999</v>
      </c>
    </row>
    <row r="62" spans="1:49" x14ac:dyDescent="0.25">
      <c r="A62" s="1002" t="s">
        <v>905</v>
      </c>
      <c r="B62" s="953">
        <v>41</v>
      </c>
      <c r="C62" s="1002" t="s">
        <v>951</v>
      </c>
      <c r="D62" s="1002">
        <v>16</v>
      </c>
      <c r="E62" s="1002">
        <v>14041570</v>
      </c>
      <c r="F62" s="954" t="s">
        <v>952</v>
      </c>
      <c r="G62" s="758" t="s">
        <v>953</v>
      </c>
      <c r="I62" s="1002" t="s">
        <v>23</v>
      </c>
      <c r="J62" s="1002" t="s">
        <v>17</v>
      </c>
      <c r="K62" s="1005"/>
      <c r="L62" s="1002">
        <v>63732</v>
      </c>
      <c r="M62" s="1006">
        <v>0.99570000000000003</v>
      </c>
      <c r="N62" s="1006">
        <v>-0.16830000000000001</v>
      </c>
      <c r="O62" s="1006">
        <v>0.14360000000000001</v>
      </c>
      <c r="P62" s="1007">
        <v>0.24149999999999999</v>
      </c>
      <c r="Q62" s="1008">
        <v>0.49325219999999997</v>
      </c>
      <c r="R62" s="49">
        <v>63732</v>
      </c>
      <c r="S62" s="1009">
        <v>0.99570000000000003</v>
      </c>
      <c r="T62" s="1009">
        <v>-0.16830000000000001</v>
      </c>
      <c r="U62" s="1009">
        <v>0.14360000000000001</v>
      </c>
      <c r="V62" s="1001">
        <v>0.24149999999999999</v>
      </c>
      <c r="W62" s="1001">
        <v>0.49325219999999997</v>
      </c>
      <c r="X62" s="1005"/>
      <c r="Y62" s="1002"/>
      <c r="Z62" s="1006"/>
      <c r="AA62" s="1006"/>
      <c r="AB62" s="1006"/>
      <c r="AC62" s="1007"/>
      <c r="AE62" s="1009"/>
      <c r="AF62" s="1009"/>
      <c r="AG62" s="1009"/>
      <c r="AI62" s="1005"/>
      <c r="AJ62" s="49">
        <v>56646</v>
      </c>
      <c r="AK62" s="1009">
        <v>0.99680999999999997</v>
      </c>
      <c r="AL62" s="1009">
        <v>-2.1298999999999998E-2</v>
      </c>
      <c r="AM62" s="1009">
        <v>0.74054299999999995</v>
      </c>
      <c r="AN62" s="1001">
        <v>0.97705500000000001</v>
      </c>
      <c r="AO62" s="1001"/>
      <c r="AP62" s="1009">
        <v>0.78290899999999997</v>
      </c>
      <c r="AQ62" s="1005"/>
      <c r="AR62" s="1002">
        <v>7086</v>
      </c>
      <c r="AS62" s="1006">
        <v>0.99568000000000001</v>
      </c>
      <c r="AT62" s="1006">
        <v>-0.17399999999999999</v>
      </c>
      <c r="AU62" s="1006">
        <v>0.14642140000000001</v>
      </c>
      <c r="AV62" s="1007">
        <v>0.23469519999999999</v>
      </c>
      <c r="AW62" s="1003">
        <v>0.99627600000000005</v>
      </c>
    </row>
    <row r="63" spans="1:49" x14ac:dyDescent="0.25">
      <c r="A63" s="49" t="s">
        <v>900</v>
      </c>
      <c r="B63" s="1301">
        <v>42</v>
      </c>
      <c r="C63" s="49" t="s">
        <v>170</v>
      </c>
      <c r="D63" s="49">
        <v>16</v>
      </c>
      <c r="E63" s="49">
        <v>67397580</v>
      </c>
      <c r="F63" s="1303" t="s">
        <v>171</v>
      </c>
      <c r="G63" s="758" t="s">
        <v>172</v>
      </c>
      <c r="H63" s="1235" t="s">
        <v>173</v>
      </c>
      <c r="I63" s="49" t="s">
        <v>24</v>
      </c>
      <c r="J63" s="49" t="s">
        <v>17</v>
      </c>
      <c r="K63" s="1005"/>
      <c r="L63" s="1002">
        <v>246470</v>
      </c>
      <c r="M63" s="1006">
        <v>0.93440000000000001</v>
      </c>
      <c r="N63" s="1006">
        <v>3.7100000000000001E-2</v>
      </c>
      <c r="O63" s="1006">
        <v>6.4999999999999997E-3</v>
      </c>
      <c r="P63" s="1007">
        <v>9.8299999999999993E-9</v>
      </c>
      <c r="Q63" s="1008">
        <v>0.58924319999999997</v>
      </c>
      <c r="R63" s="49">
        <v>223855</v>
      </c>
      <c r="S63" s="1009">
        <v>0.95630000000000004</v>
      </c>
      <c r="T63" s="1009">
        <v>4.3299999999999998E-2</v>
      </c>
      <c r="U63" s="1009">
        <v>7.4999999999999997E-3</v>
      </c>
      <c r="V63" s="1001">
        <v>7.6199999999999997E-9</v>
      </c>
      <c r="W63" s="1001">
        <v>0.19196240000000001</v>
      </c>
      <c r="X63" s="1005"/>
      <c r="Y63" s="1002">
        <v>176558</v>
      </c>
      <c r="Z63" s="1006">
        <v>0.92744400000000005</v>
      </c>
      <c r="AA63" s="1006">
        <v>2.9833999999999999E-2</v>
      </c>
      <c r="AB63" s="1006">
        <v>7.4229999999999999E-3</v>
      </c>
      <c r="AC63" s="1007">
        <v>5.8499999999999999E-5</v>
      </c>
      <c r="AD63" s="49">
        <v>153943</v>
      </c>
      <c r="AE63" s="1009">
        <v>0.95628000000000002</v>
      </c>
      <c r="AF63" s="1009">
        <v>3.5290000000000002E-2</v>
      </c>
      <c r="AG63" s="1009">
        <v>9.1000000000000004E-3</v>
      </c>
      <c r="AH63" s="1001">
        <v>1.05E-4</v>
      </c>
      <c r="AI63" s="1005"/>
      <c r="AJ63" s="49">
        <v>62826</v>
      </c>
      <c r="AK63" s="1009">
        <v>0.95623000000000002</v>
      </c>
      <c r="AL63" s="1009">
        <v>5.9540000000000003E-2</v>
      </c>
      <c r="AM63" s="1009">
        <v>1.3809999999999999E-2</v>
      </c>
      <c r="AN63" s="1001">
        <v>1.6200000000000001E-5</v>
      </c>
      <c r="AO63" s="1001">
        <v>0.28510000000000002</v>
      </c>
      <c r="AP63" s="1009"/>
      <c r="AQ63" s="1005"/>
      <c r="AR63" s="1002">
        <v>7086</v>
      </c>
      <c r="AS63" s="1006">
        <v>0.95867999999999998</v>
      </c>
      <c r="AT63" s="1006">
        <v>7.0000000000000007E-2</v>
      </c>
      <c r="AU63" s="1006">
        <v>4.6949999999999999E-2</v>
      </c>
      <c r="AV63" s="1007">
        <v>0.13597500000000001</v>
      </c>
      <c r="AW63" s="1003">
        <v>0.99928899999999998</v>
      </c>
    </row>
    <row r="64" spans="1:49" x14ac:dyDescent="0.25">
      <c r="A64" s="49" t="s">
        <v>900</v>
      </c>
      <c r="B64" s="1301"/>
      <c r="C64" s="49" t="s">
        <v>175</v>
      </c>
      <c r="D64" s="49">
        <v>16</v>
      </c>
      <c r="E64" s="49">
        <v>67409180</v>
      </c>
      <c r="F64" s="1303"/>
      <c r="G64" s="758" t="s">
        <v>176</v>
      </c>
      <c r="H64" s="1233"/>
      <c r="I64" s="49" t="s">
        <v>24</v>
      </c>
      <c r="J64" s="49" t="s">
        <v>16</v>
      </c>
      <c r="K64" s="1005"/>
      <c r="L64" s="1002">
        <v>248883</v>
      </c>
      <c r="M64" s="1006">
        <v>0.93489999999999995</v>
      </c>
      <c r="N64" s="1006">
        <v>3.8100000000000002E-2</v>
      </c>
      <c r="O64" s="1006">
        <v>6.4999999999999997E-3</v>
      </c>
      <c r="P64" s="1007">
        <v>3.7499999999999997E-9</v>
      </c>
      <c r="Q64" s="1008">
        <v>0.39962239999999999</v>
      </c>
      <c r="R64" s="49">
        <v>226268</v>
      </c>
      <c r="S64" s="1009">
        <v>0.95660000000000001</v>
      </c>
      <c r="T64" s="1009">
        <v>4.4299999999999999E-2</v>
      </c>
      <c r="U64" s="1009">
        <v>7.4999999999999997E-3</v>
      </c>
      <c r="V64" s="1001">
        <v>3.2099999999999999E-9</v>
      </c>
      <c r="W64" s="1001">
        <v>9.7632099999999999E-2</v>
      </c>
      <c r="X64" s="1005"/>
      <c r="Y64" s="1002">
        <v>178946</v>
      </c>
      <c r="Z64" s="1006">
        <v>0.92808400000000002</v>
      </c>
      <c r="AA64" s="1006">
        <v>3.1151999999999999E-2</v>
      </c>
      <c r="AB64" s="1006">
        <v>7.4009999999999996E-3</v>
      </c>
      <c r="AC64" s="1007">
        <v>2.5599999999999999E-5</v>
      </c>
      <c r="AD64" s="49">
        <v>156331</v>
      </c>
      <c r="AE64" s="1009">
        <v>0.95657000000000003</v>
      </c>
      <c r="AF64" s="1009">
        <v>3.6769999999999997E-2</v>
      </c>
      <c r="AG64" s="1009">
        <v>9.0600000000000003E-3</v>
      </c>
      <c r="AH64" s="1001">
        <v>4.9299999999999999E-5</v>
      </c>
      <c r="AI64" s="1005"/>
      <c r="AJ64" s="49">
        <v>62851</v>
      </c>
      <c r="AK64" s="1009">
        <v>0.95638999999999996</v>
      </c>
      <c r="AL64" s="1009">
        <v>5.8209999999999998E-2</v>
      </c>
      <c r="AM64" s="1009">
        <v>1.383E-2</v>
      </c>
      <c r="AN64" s="1001">
        <v>2.55E-5</v>
      </c>
      <c r="AO64" s="1001">
        <v>0.33279999999999998</v>
      </c>
      <c r="AP64" s="1009"/>
      <c r="AQ64" s="1005"/>
      <c r="AR64" s="1002">
        <v>7086</v>
      </c>
      <c r="AS64" s="1006">
        <v>0.96040999999999999</v>
      </c>
      <c r="AT64" s="1006">
        <v>8.7999999999999995E-2</v>
      </c>
      <c r="AU64" s="1006">
        <v>4.7688800000000003E-2</v>
      </c>
      <c r="AV64" s="1007">
        <v>6.49946E-2</v>
      </c>
      <c r="AW64" s="1003">
        <v>0.99997899999999995</v>
      </c>
    </row>
    <row r="65" spans="1:49" x14ac:dyDescent="0.25">
      <c r="A65" s="49" t="s">
        <v>905</v>
      </c>
      <c r="B65" s="953">
        <v>43</v>
      </c>
      <c r="C65" s="49" t="s">
        <v>205</v>
      </c>
      <c r="D65" s="49">
        <v>17</v>
      </c>
      <c r="E65" s="49">
        <v>17425631</v>
      </c>
      <c r="F65" s="954" t="s">
        <v>206</v>
      </c>
      <c r="G65" s="758" t="s">
        <v>207</v>
      </c>
      <c r="H65" s="943" t="s">
        <v>208</v>
      </c>
      <c r="I65" s="49" t="s">
        <v>17</v>
      </c>
      <c r="J65" s="49" t="s">
        <v>23</v>
      </c>
      <c r="K65" s="1005"/>
      <c r="L65" s="1002">
        <v>243863</v>
      </c>
      <c r="M65" s="1006">
        <v>0.56489999999999996</v>
      </c>
      <c r="N65" s="1006">
        <v>2.4500000000000001E-2</v>
      </c>
      <c r="O65" s="1006">
        <v>5.1999999999999998E-3</v>
      </c>
      <c r="P65" s="1007">
        <v>3.0199999999999999E-6</v>
      </c>
      <c r="Q65" s="1008">
        <v>0.81918690000000005</v>
      </c>
      <c r="R65" s="49">
        <v>221248</v>
      </c>
      <c r="S65" s="1009">
        <v>0.53869999999999996</v>
      </c>
      <c r="T65" s="1009">
        <v>2.5000000000000001E-2</v>
      </c>
      <c r="U65" s="1009">
        <v>5.3E-3</v>
      </c>
      <c r="V65" s="1001">
        <v>2.39E-6</v>
      </c>
      <c r="W65" s="1001">
        <v>0.78166530000000001</v>
      </c>
      <c r="X65" s="1005"/>
      <c r="Y65" s="1002">
        <v>180131</v>
      </c>
      <c r="Z65" s="1006">
        <v>0.580017</v>
      </c>
      <c r="AA65" s="1006">
        <v>1.9255999999999999E-2</v>
      </c>
      <c r="AB65" s="1006">
        <v>6.2420000000000002E-3</v>
      </c>
      <c r="AC65" s="1007">
        <v>2.0400000000000001E-3</v>
      </c>
      <c r="AD65" s="49">
        <v>157516</v>
      </c>
      <c r="AE65" s="1009">
        <v>0.54296999999999995</v>
      </c>
      <c r="AF65" s="1009">
        <v>1.9789999999999999E-2</v>
      </c>
      <c r="AG65" s="1009">
        <v>6.3200000000000001E-3</v>
      </c>
      <c r="AH65" s="1001">
        <v>1.75E-3</v>
      </c>
      <c r="AI65" s="1005"/>
      <c r="AJ65" s="49">
        <v>56646</v>
      </c>
      <c r="AK65" s="1009">
        <v>0.52371000000000001</v>
      </c>
      <c r="AL65" s="1009">
        <v>3.5298299999999998E-2</v>
      </c>
      <c r="AM65" s="1009">
        <v>1.0035000000000001E-2</v>
      </c>
      <c r="AN65" s="1001">
        <v>4.3560000000000002E-4</v>
      </c>
      <c r="AO65" s="1001"/>
      <c r="AP65" s="1009">
        <v>1</v>
      </c>
      <c r="AQ65" s="1005"/>
      <c r="AR65" s="1002">
        <v>7086</v>
      </c>
      <c r="AS65" s="1006">
        <v>0.59602999999999995</v>
      </c>
      <c r="AT65" s="1006">
        <v>6.2E-2</v>
      </c>
      <c r="AU65" s="1006">
        <v>3.7038099999999997E-2</v>
      </c>
      <c r="AV65" s="1007">
        <v>9.4140299999999996E-2</v>
      </c>
      <c r="AW65" s="1003">
        <v>0.99684700000000004</v>
      </c>
    </row>
    <row r="66" spans="1:49" x14ac:dyDescent="0.25">
      <c r="A66" s="1002" t="s">
        <v>900</v>
      </c>
      <c r="B66" s="953">
        <v>44</v>
      </c>
      <c r="C66" s="1002" t="s">
        <v>954</v>
      </c>
      <c r="D66" s="1002">
        <v>19</v>
      </c>
      <c r="E66" s="1002">
        <v>422171</v>
      </c>
      <c r="F66" s="954" t="s">
        <v>955</v>
      </c>
      <c r="G66" s="758" t="s">
        <v>956</v>
      </c>
      <c r="I66" s="1002" t="s">
        <v>17</v>
      </c>
      <c r="J66" s="1002" t="s">
        <v>16</v>
      </c>
      <c r="K66" s="1005"/>
      <c r="L66" s="1002">
        <v>91901</v>
      </c>
      <c r="M66" s="1006">
        <v>8.9999999999999998E-4</v>
      </c>
      <c r="N66" s="1006">
        <v>0.25640000000000002</v>
      </c>
      <c r="O66" s="1006">
        <v>0.08</v>
      </c>
      <c r="P66" s="1007">
        <v>1.34E-3</v>
      </c>
      <c r="Q66" s="1008">
        <v>0.53194810000000003</v>
      </c>
      <c r="R66" s="49">
        <v>77632</v>
      </c>
      <c r="S66" s="1009">
        <v>1E-3</v>
      </c>
      <c r="T66" s="1009">
        <v>0.2616</v>
      </c>
      <c r="U66" s="1009">
        <v>8.0199999999999994E-2</v>
      </c>
      <c r="V66" s="1001">
        <v>1.114E-3</v>
      </c>
      <c r="W66" s="1001">
        <v>0.56493499999999996</v>
      </c>
      <c r="X66" s="1005"/>
      <c r="Y66" s="1002">
        <v>91901</v>
      </c>
      <c r="Z66" s="1006">
        <v>8.6799999999999996E-4</v>
      </c>
      <c r="AA66" s="1006">
        <v>0.25643500000000002</v>
      </c>
      <c r="AB66" s="1006">
        <v>7.9955999999999999E-2</v>
      </c>
      <c r="AC66" s="1007">
        <v>1.34E-3</v>
      </c>
      <c r="AD66" s="49">
        <v>77632</v>
      </c>
      <c r="AE66" s="1009">
        <v>1.0200000000000001E-3</v>
      </c>
      <c r="AF66" s="1009">
        <v>0.26158999999999999</v>
      </c>
      <c r="AG66" s="1009">
        <v>8.0240000000000006E-2</v>
      </c>
      <c r="AH66" s="1001">
        <v>1.1100000000000001E-3</v>
      </c>
      <c r="AI66" s="1005"/>
      <c r="AK66" s="1009"/>
      <c r="AL66" s="1009"/>
      <c r="AM66" s="1009"/>
      <c r="AN66" s="1001"/>
      <c r="AO66" s="1001"/>
      <c r="AP66" s="1009"/>
      <c r="AQ66" s="1005"/>
      <c r="AR66" s="1002"/>
      <c r="AS66" s="1006"/>
      <c r="AT66" s="1006"/>
      <c r="AU66" s="1006"/>
      <c r="AV66" s="1007"/>
      <c r="AW66" s="1003"/>
    </row>
    <row r="67" spans="1:49" x14ac:dyDescent="0.25">
      <c r="A67" s="1002" t="s">
        <v>900</v>
      </c>
      <c r="B67" s="953">
        <v>45</v>
      </c>
      <c r="C67" s="1002" t="s">
        <v>261</v>
      </c>
      <c r="D67" s="1002">
        <v>19</v>
      </c>
      <c r="E67" s="1002">
        <v>8429323</v>
      </c>
      <c r="F67" s="954" t="s">
        <v>262</v>
      </c>
      <c r="G67" s="758" t="s">
        <v>263</v>
      </c>
      <c r="I67" s="1002" t="s">
        <v>24</v>
      </c>
      <c r="J67" s="1002" t="s">
        <v>16</v>
      </c>
      <c r="K67" s="1005"/>
      <c r="L67" s="1002">
        <v>243351</v>
      </c>
      <c r="M67" s="1006">
        <v>0.98099999999999998</v>
      </c>
      <c r="N67" s="1006">
        <v>6.4299999999999996E-2</v>
      </c>
      <c r="O67" s="1006">
        <v>1.06E-2</v>
      </c>
      <c r="P67" s="1007">
        <v>1.2E-9</v>
      </c>
      <c r="Q67" s="1008">
        <v>1.3199999999999999E-7</v>
      </c>
      <c r="R67" s="49">
        <v>225400</v>
      </c>
      <c r="S67" s="1009">
        <v>0.97970000000000002</v>
      </c>
      <c r="T67" s="1009">
        <v>6.5600000000000006E-2</v>
      </c>
      <c r="U67" s="1009">
        <v>1.06E-2</v>
      </c>
      <c r="V67" s="1001">
        <v>6.8100000000000003E-10</v>
      </c>
      <c r="W67" s="1001">
        <v>1.1000000000000001E-7</v>
      </c>
      <c r="X67" s="1005"/>
      <c r="Y67" s="1002">
        <v>173413</v>
      </c>
      <c r="Z67" s="1006">
        <v>0.98118499999999997</v>
      </c>
      <c r="AA67" s="1006">
        <v>6.0830000000000002E-2</v>
      </c>
      <c r="AB67" s="1006">
        <v>1.2541999999999999E-2</v>
      </c>
      <c r="AC67" s="1007">
        <v>1.24E-6</v>
      </c>
      <c r="AD67" s="49">
        <v>155462</v>
      </c>
      <c r="AE67" s="1009">
        <v>0.97936999999999996</v>
      </c>
      <c r="AF67" s="1009">
        <v>6.268E-2</v>
      </c>
      <c r="AG67" s="1009">
        <v>1.265E-2</v>
      </c>
      <c r="AH67" s="1001">
        <v>7.23E-7</v>
      </c>
      <c r="AI67" s="1005"/>
      <c r="AJ67" s="49">
        <v>62852</v>
      </c>
      <c r="AK67" s="1009">
        <v>0.98082999999999998</v>
      </c>
      <c r="AL67" s="1009">
        <v>7.1980000000000002E-2</v>
      </c>
      <c r="AM67" s="1009">
        <v>2.0580000000000001E-2</v>
      </c>
      <c r="AN67" s="1001">
        <v>4.7090000000000001E-4</v>
      </c>
      <c r="AO67" s="1001">
        <v>5.9500000000000003E-5</v>
      </c>
      <c r="AP67" s="1009"/>
      <c r="AQ67" s="1005"/>
      <c r="AR67" s="1002">
        <v>7086</v>
      </c>
      <c r="AS67" s="1006">
        <v>0.97570000000000001</v>
      </c>
      <c r="AT67" s="1006">
        <v>8.1000000000000003E-2</v>
      </c>
      <c r="AU67" s="1006">
        <v>6.6311200000000001E-2</v>
      </c>
      <c r="AV67" s="1007">
        <v>0.22189200000000001</v>
      </c>
      <c r="AW67" s="1003">
        <v>0.99202599999999996</v>
      </c>
    </row>
    <row r="68" spans="1:49" x14ac:dyDescent="0.25">
      <c r="A68" s="1002" t="s">
        <v>900</v>
      </c>
      <c r="B68" s="1301">
        <v>46</v>
      </c>
      <c r="C68" s="1002" t="s">
        <v>178</v>
      </c>
      <c r="D68" s="1002">
        <v>19</v>
      </c>
      <c r="E68" s="1002">
        <v>18285944</v>
      </c>
      <c r="F68" s="954" t="s">
        <v>957</v>
      </c>
      <c r="G68" s="758" t="s">
        <v>179</v>
      </c>
      <c r="H68" s="1233" t="s">
        <v>180</v>
      </c>
      <c r="I68" s="1002" t="s">
        <v>16</v>
      </c>
      <c r="J68" s="1002" t="s">
        <v>24</v>
      </c>
      <c r="K68" s="1005"/>
      <c r="L68" s="1002">
        <v>250069</v>
      </c>
      <c r="M68" s="1006">
        <v>0.25919999999999999</v>
      </c>
      <c r="N68" s="1006">
        <v>2.2100000000000002E-2</v>
      </c>
      <c r="O68" s="1006">
        <v>3.3999999999999998E-3</v>
      </c>
      <c r="P68" s="1007">
        <v>4.3499999999999998E-11</v>
      </c>
      <c r="Q68" s="1008">
        <v>3.1164999999999999E-3</v>
      </c>
      <c r="R68" s="49">
        <v>227454</v>
      </c>
      <c r="S68" s="1009">
        <v>0.26550000000000001</v>
      </c>
      <c r="T68" s="1009">
        <v>2.3400000000000001E-2</v>
      </c>
      <c r="U68" s="1009">
        <v>3.5000000000000001E-3</v>
      </c>
      <c r="V68" s="1001">
        <v>2.25E-11</v>
      </c>
      <c r="W68" s="1001">
        <v>1.3169E-3</v>
      </c>
      <c r="X68" s="1005"/>
      <c r="Y68" s="1002">
        <v>180131</v>
      </c>
      <c r="Z68" s="1006">
        <v>0.25567699999999999</v>
      </c>
      <c r="AA68" s="1006">
        <v>2.1465000000000001E-2</v>
      </c>
      <c r="AB68" s="1006">
        <v>4.0200000000000001E-3</v>
      </c>
      <c r="AC68" s="1007">
        <v>9.3299999999999995E-8</v>
      </c>
      <c r="AD68" s="49">
        <v>157516</v>
      </c>
      <c r="AE68" s="1009">
        <v>0.26458999999999999</v>
      </c>
      <c r="AF68" s="1009">
        <v>2.3220000000000001E-2</v>
      </c>
      <c r="AG68" s="1009">
        <v>4.2599999999999999E-3</v>
      </c>
      <c r="AH68" s="1001">
        <v>4.8400000000000003E-8</v>
      </c>
      <c r="AI68" s="1005"/>
      <c r="AJ68" s="49">
        <v>62852</v>
      </c>
      <c r="AK68" s="1009">
        <v>0.26950000000000002</v>
      </c>
      <c r="AL68" s="1009">
        <v>2.308E-2</v>
      </c>
      <c r="AM68" s="1009">
        <v>6.3400000000000001E-3</v>
      </c>
      <c r="AN68" s="1001">
        <v>2.722E-4</v>
      </c>
      <c r="AO68" s="1001">
        <v>0.70320000000000005</v>
      </c>
      <c r="AP68" s="1009"/>
      <c r="AQ68" s="1005"/>
      <c r="AR68" s="1002">
        <v>7086</v>
      </c>
      <c r="AS68" s="1006">
        <v>0.23957999999999999</v>
      </c>
      <c r="AT68" s="1006">
        <v>3.2000000000000001E-2</v>
      </c>
      <c r="AU68" s="1006">
        <v>2.3108E-2</v>
      </c>
      <c r="AV68" s="1007">
        <v>0.16611300000000001</v>
      </c>
      <c r="AW68" s="1003">
        <v>0.99893299999999996</v>
      </c>
    </row>
    <row r="69" spans="1:49" x14ac:dyDescent="0.25">
      <c r="A69" s="1002" t="s">
        <v>900</v>
      </c>
      <c r="B69" s="1301"/>
      <c r="C69" s="1002" t="s">
        <v>182</v>
      </c>
      <c r="D69" s="1002">
        <v>19</v>
      </c>
      <c r="E69" s="1002">
        <v>18304700</v>
      </c>
      <c r="F69" s="954" t="s">
        <v>958</v>
      </c>
      <c r="G69" s="758" t="s">
        <v>183</v>
      </c>
      <c r="H69" s="1233"/>
      <c r="I69" s="1002" t="s">
        <v>24</v>
      </c>
      <c r="J69" s="1002" t="s">
        <v>16</v>
      </c>
      <c r="K69" s="1005"/>
      <c r="L69" s="1002">
        <v>250064</v>
      </c>
      <c r="M69" s="1006">
        <v>0.27300000000000002</v>
      </c>
      <c r="N69" s="1006">
        <v>2.2100000000000002E-2</v>
      </c>
      <c r="O69" s="1006">
        <v>3.3E-3</v>
      </c>
      <c r="P69" s="1007">
        <v>2.1399999999999998E-11</v>
      </c>
      <c r="Q69" s="1008">
        <v>2.4946999999999999E-3</v>
      </c>
      <c r="R69" s="1002">
        <v>227449</v>
      </c>
      <c r="S69" s="1006">
        <v>0.28199999999999997</v>
      </c>
      <c r="T69" s="1006">
        <v>2.29E-2</v>
      </c>
      <c r="U69" s="1006">
        <v>3.3999999999999998E-3</v>
      </c>
      <c r="V69" s="1007">
        <v>2.1199999999999999E-11</v>
      </c>
      <c r="W69" s="1007">
        <v>1.8418E-3</v>
      </c>
      <c r="X69" s="1005"/>
      <c r="Y69" s="1002">
        <v>180131</v>
      </c>
      <c r="Z69" s="1006">
        <v>0.268735</v>
      </c>
      <c r="AA69" s="1006">
        <v>2.2719E-2</v>
      </c>
      <c r="AB69" s="1006">
        <v>3.9620000000000002E-3</v>
      </c>
      <c r="AC69" s="1007">
        <v>9.7599999999999994E-9</v>
      </c>
      <c r="AD69" s="1002">
        <v>157516</v>
      </c>
      <c r="AE69" s="1006">
        <v>0.28149999999999997</v>
      </c>
      <c r="AF69" s="1006">
        <v>2.3959999999999999E-2</v>
      </c>
      <c r="AG69" s="1006">
        <v>4.1700000000000001E-3</v>
      </c>
      <c r="AH69" s="1007">
        <v>9.46E-9</v>
      </c>
      <c r="AI69" s="1005"/>
      <c r="AJ69" s="1002">
        <v>62847</v>
      </c>
      <c r="AK69" s="1006">
        <v>0.2858</v>
      </c>
      <c r="AL69" s="1006">
        <v>1.9709999999999998E-2</v>
      </c>
      <c r="AM69" s="1006">
        <v>6.2399999999999999E-3</v>
      </c>
      <c r="AN69" s="1007">
        <v>1.585E-3</v>
      </c>
      <c r="AO69" s="1007">
        <v>0.79920000000000002</v>
      </c>
      <c r="AP69" s="1006"/>
      <c r="AQ69" s="1005"/>
      <c r="AR69" s="1002">
        <v>7086</v>
      </c>
      <c r="AS69" s="1006">
        <v>0.24684</v>
      </c>
      <c r="AT69" s="1006">
        <v>3.5000000000000003E-2</v>
      </c>
      <c r="AU69" s="1006">
        <v>2.21657E-2</v>
      </c>
      <c r="AV69" s="1007">
        <v>0.114333</v>
      </c>
      <c r="AW69" s="1003">
        <v>0.99922999999999995</v>
      </c>
    </row>
    <row r="70" spans="1:49" x14ac:dyDescent="0.25">
      <c r="A70" s="1002" t="s">
        <v>900</v>
      </c>
      <c r="B70" s="1301">
        <v>47</v>
      </c>
      <c r="C70" s="1002" t="s">
        <v>185</v>
      </c>
      <c r="D70" s="1002">
        <v>19</v>
      </c>
      <c r="E70" s="1002">
        <v>49232226</v>
      </c>
      <c r="F70" s="954" t="s">
        <v>186</v>
      </c>
      <c r="G70" s="758" t="s">
        <v>187</v>
      </c>
      <c r="I70" s="1002" t="s">
        <v>16</v>
      </c>
      <c r="J70" s="1002" t="s">
        <v>24</v>
      </c>
      <c r="K70" s="1005"/>
      <c r="L70" s="1002">
        <v>235654</v>
      </c>
      <c r="M70" s="1006">
        <v>0.49659999999999999</v>
      </c>
      <c r="N70" s="1006">
        <v>1.84E-2</v>
      </c>
      <c r="O70" s="1006">
        <v>3.0999999999999999E-3</v>
      </c>
      <c r="P70" s="1007">
        <v>2.9600000000000001E-9</v>
      </c>
      <c r="Q70" s="1008">
        <v>3.7383899999999998E-2</v>
      </c>
      <c r="R70" s="1002">
        <v>221177</v>
      </c>
      <c r="S70" s="1006">
        <v>0.51549999999999996</v>
      </c>
      <c r="T70" s="1006">
        <v>1.8599999999999998E-2</v>
      </c>
      <c r="U70" s="1006">
        <v>3.2000000000000002E-3</v>
      </c>
      <c r="V70" s="1007">
        <v>4.66E-9</v>
      </c>
      <c r="W70" s="1007">
        <v>1.7865800000000001E-2</v>
      </c>
      <c r="X70" s="1005"/>
      <c r="Y70" s="1002">
        <v>165907</v>
      </c>
      <c r="Z70" s="1006">
        <v>0.47653600000000002</v>
      </c>
      <c r="AA70" s="1006">
        <v>1.9900999999999999E-2</v>
      </c>
      <c r="AB70" s="1006">
        <v>3.7620000000000002E-3</v>
      </c>
      <c r="AC70" s="1007">
        <v>1.2200000000000001E-7</v>
      </c>
      <c r="AD70" s="1002">
        <v>151430</v>
      </c>
      <c r="AE70" s="1006">
        <v>0.50346000000000002</v>
      </c>
      <c r="AF70" s="1006">
        <v>2.0219999999999998E-2</v>
      </c>
      <c r="AG70" s="1006">
        <v>3.8800000000000002E-3</v>
      </c>
      <c r="AH70" s="1007">
        <v>1.86E-7</v>
      </c>
      <c r="AI70" s="1005"/>
      <c r="AJ70" s="1002">
        <v>62661</v>
      </c>
      <c r="AK70" s="1006">
        <v>0.53600000000000003</v>
      </c>
      <c r="AL70" s="1006">
        <v>1.6279999999999999E-2</v>
      </c>
      <c r="AM70" s="1006">
        <v>5.672E-3</v>
      </c>
      <c r="AN70" s="1007">
        <v>4.1099999999999999E-3</v>
      </c>
      <c r="AO70" s="1007">
        <v>0.17580000000000001</v>
      </c>
      <c r="AP70" s="1006"/>
      <c r="AQ70" s="1005"/>
      <c r="AR70" s="1002">
        <v>7086</v>
      </c>
      <c r="AS70" s="1006">
        <v>0.60792999999999997</v>
      </c>
      <c r="AT70" s="1006">
        <v>-2E-3</v>
      </c>
      <c r="AU70" s="1006">
        <v>2.3997299999999999E-2</v>
      </c>
      <c r="AV70" s="1007">
        <v>0.93357900000000005</v>
      </c>
      <c r="AW70" s="1003">
        <v>0.99923300000000004</v>
      </c>
    </row>
    <row r="71" spans="1:49" x14ac:dyDescent="0.25">
      <c r="A71" s="1002" t="s">
        <v>900</v>
      </c>
      <c r="B71" s="1301"/>
      <c r="C71" s="1002" t="s">
        <v>189</v>
      </c>
      <c r="D71" s="1002">
        <v>19</v>
      </c>
      <c r="E71" s="1002">
        <v>49244220</v>
      </c>
      <c r="F71" s="199" t="s">
        <v>190</v>
      </c>
      <c r="G71" s="758" t="s">
        <v>191</v>
      </c>
      <c r="H71" s="953"/>
      <c r="I71" s="1002" t="s">
        <v>24</v>
      </c>
      <c r="J71" s="1002" t="s">
        <v>16</v>
      </c>
      <c r="K71" s="1005"/>
      <c r="L71" s="1002">
        <v>249927</v>
      </c>
      <c r="M71" s="1006">
        <v>0.56030000000000002</v>
      </c>
      <c r="N71" s="1006">
        <v>1.6E-2</v>
      </c>
      <c r="O71" s="1006">
        <v>3.0000000000000001E-3</v>
      </c>
      <c r="P71" s="1007">
        <v>6.4099999999999998E-8</v>
      </c>
      <c r="Q71" s="1008">
        <v>3.8723899999999999E-2</v>
      </c>
      <c r="R71" s="1002">
        <v>227312</v>
      </c>
      <c r="S71" s="1006">
        <v>0.56340000000000001</v>
      </c>
      <c r="T71" s="1006">
        <v>1.7100000000000001E-2</v>
      </c>
      <c r="U71" s="1006">
        <v>3.0999999999999999E-3</v>
      </c>
      <c r="V71" s="1007">
        <v>3.5199999999999998E-8</v>
      </c>
      <c r="W71" s="1007">
        <v>3.5363400000000003E-2</v>
      </c>
      <c r="X71" s="1005"/>
      <c r="Y71" s="1002">
        <v>180131</v>
      </c>
      <c r="Z71" s="1006">
        <v>0.55440199999999995</v>
      </c>
      <c r="AA71" s="1006">
        <v>1.5935000000000001E-2</v>
      </c>
      <c r="AB71" s="1006">
        <v>3.5279999999999999E-3</v>
      </c>
      <c r="AC71" s="1007">
        <v>6.2899999999999999E-6</v>
      </c>
      <c r="AD71" s="1002">
        <v>157516</v>
      </c>
      <c r="AE71" s="1006">
        <v>0.55813000000000001</v>
      </c>
      <c r="AF71" s="1006">
        <v>1.7469999999999999E-2</v>
      </c>
      <c r="AG71" s="1006">
        <v>3.7599999999999999E-3</v>
      </c>
      <c r="AH71" s="1007">
        <v>3.3100000000000001E-6</v>
      </c>
      <c r="AI71" s="1005"/>
      <c r="AJ71" s="1002">
        <v>62710</v>
      </c>
      <c r="AK71" s="1006">
        <v>0.57179999999999997</v>
      </c>
      <c r="AL71" s="1006">
        <v>1.6420000000000001E-2</v>
      </c>
      <c r="AM71" s="1006">
        <v>5.7070000000000003E-3</v>
      </c>
      <c r="AN71" s="1007">
        <v>4.0109999999999998E-3</v>
      </c>
      <c r="AO71" s="1007">
        <v>0.88280000000000003</v>
      </c>
      <c r="AP71" s="1006"/>
      <c r="AQ71" s="1005"/>
      <c r="AR71" s="1002">
        <v>7086</v>
      </c>
      <c r="AS71" s="1006">
        <v>0.60945000000000005</v>
      </c>
      <c r="AT71" s="1006">
        <v>1.4999999999999999E-2</v>
      </c>
      <c r="AU71" s="1006">
        <v>1.99603E-2</v>
      </c>
      <c r="AV71" s="1007">
        <v>0.45235599999999998</v>
      </c>
      <c r="AW71" s="1003">
        <v>0.99987099999999995</v>
      </c>
    </row>
    <row r="72" spans="1:49" x14ac:dyDescent="0.25">
      <c r="A72" s="1002" t="s">
        <v>900</v>
      </c>
      <c r="B72" s="1301">
        <v>48</v>
      </c>
      <c r="C72" s="1002" t="s">
        <v>193</v>
      </c>
      <c r="D72" s="1002">
        <v>20</v>
      </c>
      <c r="E72" s="1002">
        <v>33971914</v>
      </c>
      <c r="F72" s="199" t="s">
        <v>265</v>
      </c>
      <c r="G72" s="758" t="s">
        <v>194</v>
      </c>
      <c r="H72" s="1233" t="s">
        <v>195</v>
      </c>
      <c r="I72" s="1002" t="s">
        <v>23</v>
      </c>
      <c r="J72" s="1002" t="s">
        <v>17</v>
      </c>
      <c r="K72" s="1005"/>
      <c r="L72" s="1002">
        <v>224762</v>
      </c>
      <c r="M72" s="1006">
        <v>0.60780000000000001</v>
      </c>
      <c r="N72" s="1006">
        <v>1.0999999999999999E-2</v>
      </c>
      <c r="O72" s="1006">
        <v>3.2000000000000002E-3</v>
      </c>
      <c r="P72" s="1007">
        <v>6.3230000000000003E-4</v>
      </c>
      <c r="Q72" s="1008">
        <v>1.5372000000000001E-3</v>
      </c>
      <c r="R72" s="1002">
        <v>205654</v>
      </c>
      <c r="S72" s="1006">
        <v>0.61939999999999995</v>
      </c>
      <c r="T72" s="1006">
        <v>9.7000000000000003E-3</v>
      </c>
      <c r="U72" s="1006">
        <v>3.3999999999999998E-3</v>
      </c>
      <c r="V72" s="1007">
        <v>3.8509999999999998E-3</v>
      </c>
      <c r="W72" s="1007">
        <v>9.0370000000000001E-4</v>
      </c>
      <c r="X72" s="1005"/>
      <c r="Y72" s="1002">
        <v>154852</v>
      </c>
      <c r="Z72" s="1006">
        <v>0.59445800000000004</v>
      </c>
      <c r="AA72" s="1006">
        <v>1.4357999999999999E-2</v>
      </c>
      <c r="AB72" s="1006">
        <v>3.921E-3</v>
      </c>
      <c r="AC72" s="1007">
        <v>2.5099999999999998E-4</v>
      </c>
      <c r="AD72" s="1002">
        <v>135744</v>
      </c>
      <c r="AE72" s="1006">
        <v>0.61038999999999999</v>
      </c>
      <c r="AF72" s="1006">
        <v>1.2919999999999999E-2</v>
      </c>
      <c r="AG72" s="1006">
        <v>4.2100000000000002E-3</v>
      </c>
      <c r="AH72" s="1007">
        <v>2.1299999999999999E-3</v>
      </c>
      <c r="AI72" s="1005"/>
      <c r="AJ72" s="1002">
        <v>62824</v>
      </c>
      <c r="AK72" s="1006">
        <v>0.6321</v>
      </c>
      <c r="AL72" s="1006">
        <v>3.1489999999999999E-3</v>
      </c>
      <c r="AM72" s="1006">
        <v>5.8539999999999998E-3</v>
      </c>
      <c r="AN72" s="1007">
        <v>0.5907</v>
      </c>
      <c r="AO72" s="1007">
        <v>0.159</v>
      </c>
      <c r="AP72" s="1006"/>
      <c r="AQ72" s="1005"/>
      <c r="AR72" s="1002">
        <v>7086</v>
      </c>
      <c r="AS72" s="1006">
        <v>0.67418</v>
      </c>
      <c r="AT72" s="1006">
        <v>1.4999999999999999E-2</v>
      </c>
      <c r="AU72" s="1006">
        <v>2.0197900000000001E-2</v>
      </c>
      <c r="AV72" s="1007">
        <v>0.45769300000000002</v>
      </c>
      <c r="AW72" s="1003">
        <v>0.99999800000000005</v>
      </c>
    </row>
    <row r="73" spans="1:49" x14ac:dyDescent="0.25">
      <c r="A73" s="1002" t="s">
        <v>900</v>
      </c>
      <c r="B73" s="1301"/>
      <c r="C73" s="1002" t="s">
        <v>197</v>
      </c>
      <c r="D73" s="1002">
        <v>20</v>
      </c>
      <c r="E73" s="1002">
        <v>34022387</v>
      </c>
      <c r="F73" s="199" t="s">
        <v>959</v>
      </c>
      <c r="G73" s="758" t="s">
        <v>198</v>
      </c>
      <c r="H73" s="1233"/>
      <c r="I73" s="1002" t="s">
        <v>16</v>
      </c>
      <c r="J73" s="1002" t="s">
        <v>17</v>
      </c>
      <c r="K73" s="1005"/>
      <c r="L73" s="1002">
        <v>178459</v>
      </c>
      <c r="M73" s="1006">
        <v>0.64649999999999996</v>
      </c>
      <c r="N73" s="1006">
        <v>9.7999999999999997E-3</v>
      </c>
      <c r="O73" s="1006">
        <v>3.5999999999999999E-3</v>
      </c>
      <c r="P73" s="1007">
        <v>7.4549999999999998E-3</v>
      </c>
      <c r="Q73" s="1008">
        <v>3.1757999999999999E-3</v>
      </c>
      <c r="R73" s="1002">
        <v>167154</v>
      </c>
      <c r="S73" s="1006">
        <v>0.64949999999999997</v>
      </c>
      <c r="T73" s="1006">
        <v>1.06E-2</v>
      </c>
      <c r="U73" s="1006">
        <v>3.8E-3</v>
      </c>
      <c r="V73" s="1007">
        <v>5.045E-3</v>
      </c>
      <c r="W73" s="1007">
        <v>1.19525E-2</v>
      </c>
      <c r="X73" s="1005"/>
      <c r="Y73" s="1002">
        <v>108447</v>
      </c>
      <c r="Z73" s="1006">
        <v>0.63514599999999999</v>
      </c>
      <c r="AA73" s="1006">
        <v>1.3106E-2</v>
      </c>
      <c r="AB73" s="1006">
        <v>4.7330000000000002E-3</v>
      </c>
      <c r="AC73" s="1007">
        <v>5.62E-3</v>
      </c>
      <c r="AD73" s="1002">
        <v>97142</v>
      </c>
      <c r="AE73" s="1006">
        <v>0.63895999999999997</v>
      </c>
      <c r="AF73" s="1006">
        <v>1.498E-2</v>
      </c>
      <c r="AG73" s="1006">
        <v>5.0200000000000002E-3</v>
      </c>
      <c r="AH73" s="1007">
        <v>2.8300000000000001E-3</v>
      </c>
      <c r="AI73" s="1005"/>
      <c r="AJ73" s="1002">
        <v>62926</v>
      </c>
      <c r="AK73" s="1006">
        <v>0.66120999999999996</v>
      </c>
      <c r="AL73" s="1006">
        <v>3.8923999999999999E-3</v>
      </c>
      <c r="AM73" s="1006">
        <v>5.9515000000000002E-3</v>
      </c>
      <c r="AN73" s="1007">
        <v>0.5131</v>
      </c>
      <c r="AO73" s="1007"/>
      <c r="AP73" s="1006">
        <v>0.99739100000000003</v>
      </c>
      <c r="AQ73" s="1005"/>
      <c r="AR73" s="1002">
        <v>7086</v>
      </c>
      <c r="AS73" s="1006">
        <v>0.68684999999999996</v>
      </c>
      <c r="AT73" s="1006">
        <v>1.7000000000000001E-2</v>
      </c>
      <c r="AU73" s="1006">
        <v>2.10038E-2</v>
      </c>
      <c r="AV73" s="1007">
        <v>0.418298</v>
      </c>
      <c r="AW73" s="1003">
        <v>0.99782599999999999</v>
      </c>
    </row>
    <row r="74" spans="1:49" s="1002" customFormat="1" x14ac:dyDescent="0.25">
      <c r="A74" s="1011" t="s">
        <v>900</v>
      </c>
      <c r="B74" s="905">
        <v>49</v>
      </c>
      <c r="C74" s="1011" t="s">
        <v>200</v>
      </c>
      <c r="D74" s="1011">
        <v>20</v>
      </c>
      <c r="E74" s="1011">
        <v>42965811</v>
      </c>
      <c r="F74" s="200" t="s">
        <v>201</v>
      </c>
      <c r="G74" s="905" t="s">
        <v>202</v>
      </c>
      <c r="H74" s="905"/>
      <c r="I74" s="1011" t="s">
        <v>23</v>
      </c>
      <c r="J74" s="1011" t="s">
        <v>17</v>
      </c>
      <c r="K74" s="1012"/>
      <c r="L74" s="1011">
        <v>229332</v>
      </c>
      <c r="M74" s="1013">
        <v>8.9999999999999998E-4</v>
      </c>
      <c r="N74" s="1013">
        <v>0.1711</v>
      </c>
      <c r="O74" s="1013">
        <v>5.3800000000000001E-2</v>
      </c>
      <c r="P74" s="1014">
        <v>1.4710000000000001E-3</v>
      </c>
      <c r="Q74" s="1015">
        <v>0.99760769999999999</v>
      </c>
      <c r="R74" s="1011">
        <v>209586</v>
      </c>
      <c r="S74" s="1013">
        <v>1E-3</v>
      </c>
      <c r="T74" s="1013">
        <v>0.16850000000000001</v>
      </c>
      <c r="U74" s="1013">
        <v>5.3900000000000003E-2</v>
      </c>
      <c r="V74" s="1014">
        <v>1.7730000000000001E-3</v>
      </c>
      <c r="W74" s="1014">
        <v>0.96775169999999999</v>
      </c>
      <c r="X74" s="1012"/>
      <c r="Y74" s="1011">
        <v>159320</v>
      </c>
      <c r="Z74" s="1013">
        <v>9.8499999999999998E-4</v>
      </c>
      <c r="AA74" s="1013">
        <v>0.17211599999999999</v>
      </c>
      <c r="AB74" s="1013">
        <v>5.697E-2</v>
      </c>
      <c r="AC74" s="1014">
        <v>2.5200000000000001E-3</v>
      </c>
      <c r="AD74" s="1011">
        <v>139574</v>
      </c>
      <c r="AE74" s="1013">
        <v>1.1199999999999999E-3</v>
      </c>
      <c r="AF74" s="1013">
        <v>0.16925000000000001</v>
      </c>
      <c r="AG74" s="1013">
        <v>5.7110000000000001E-2</v>
      </c>
      <c r="AH74" s="1014">
        <v>3.0400000000000002E-3</v>
      </c>
      <c r="AI74" s="1012"/>
      <c r="AJ74" s="1011">
        <v>62926</v>
      </c>
      <c r="AK74" s="1013">
        <v>5.1000000000000004E-4</v>
      </c>
      <c r="AL74" s="1013">
        <v>0.21407999999999999</v>
      </c>
      <c r="AM74" s="1013">
        <v>0.177561</v>
      </c>
      <c r="AN74" s="1014">
        <v>0.22794400000000001</v>
      </c>
      <c r="AO74" s="1014"/>
      <c r="AP74" s="1013">
        <v>0.47204600000000002</v>
      </c>
      <c r="AQ74" s="1012"/>
      <c r="AR74" s="1011">
        <v>7086</v>
      </c>
      <c r="AS74" s="1013">
        <v>2.5999999999999998E-4</v>
      </c>
      <c r="AT74" s="1013">
        <v>-0.121</v>
      </c>
      <c r="AU74" s="1013">
        <v>0.41611920000000002</v>
      </c>
      <c r="AV74" s="1014">
        <v>0.77121799999999996</v>
      </c>
      <c r="AW74" s="1016">
        <v>0.98993100000000001</v>
      </c>
    </row>
    <row r="75" spans="1:49" s="758" customFormat="1" x14ac:dyDescent="0.25">
      <c r="A75" s="589" t="s">
        <v>225</v>
      </c>
      <c r="B75" s="589"/>
      <c r="F75" s="954"/>
      <c r="K75" s="999"/>
      <c r="M75" s="1017"/>
      <c r="N75" s="1017"/>
      <c r="O75" s="1017"/>
      <c r="R75" s="1017"/>
      <c r="S75" s="1017"/>
      <c r="T75" s="1017"/>
      <c r="V75" s="999"/>
      <c r="W75" s="999"/>
      <c r="X75" s="1017"/>
      <c r="Y75" s="1017"/>
      <c r="Z75" s="1017"/>
      <c r="AA75" s="999"/>
      <c r="AB75" s="999"/>
      <c r="AC75" s="1017"/>
      <c r="AD75" s="1017"/>
      <c r="AE75" s="1017"/>
      <c r="AF75" s="999"/>
      <c r="AG75" s="999"/>
      <c r="AH75" s="999"/>
      <c r="AI75" s="1017"/>
      <c r="AJ75" s="1017"/>
      <c r="AK75" s="1017"/>
      <c r="AL75" s="999"/>
      <c r="AO75" s="999"/>
      <c r="AQ75" s="1017"/>
      <c r="AR75" s="1017"/>
      <c r="AS75" s="1017"/>
    </row>
    <row r="76" spans="1:49" s="758" customFormat="1" x14ac:dyDescent="0.25">
      <c r="A76" s="589" t="s">
        <v>960</v>
      </c>
      <c r="B76" s="589"/>
      <c r="F76" s="954"/>
      <c r="K76" s="999"/>
      <c r="M76" s="1017"/>
      <c r="N76" s="1017"/>
      <c r="O76" s="1017"/>
      <c r="R76" s="1017"/>
      <c r="S76" s="1017"/>
      <c r="T76" s="1017"/>
      <c r="V76" s="999"/>
      <c r="W76" s="999"/>
      <c r="X76" s="1017"/>
      <c r="Y76" s="1017"/>
      <c r="Z76" s="1017"/>
      <c r="AA76" s="999"/>
      <c r="AB76" s="999"/>
      <c r="AC76" s="1017"/>
      <c r="AD76" s="1017"/>
      <c r="AE76" s="1017"/>
      <c r="AF76" s="999"/>
      <c r="AG76" s="999"/>
      <c r="AH76" s="999"/>
      <c r="AI76" s="1017"/>
      <c r="AJ76" s="1017"/>
      <c r="AK76" s="1017"/>
      <c r="AL76" s="999"/>
      <c r="AO76" s="999"/>
      <c r="AQ76" s="1017"/>
      <c r="AR76" s="1017"/>
      <c r="AS76" s="1017"/>
    </row>
    <row r="77" spans="1:49" s="758" customFormat="1" x14ac:dyDescent="0.25">
      <c r="A77" s="169" t="s">
        <v>227</v>
      </c>
      <c r="B77" s="169"/>
      <c r="F77" s="954"/>
      <c r="K77" s="999"/>
      <c r="M77" s="1017"/>
      <c r="N77" s="1017"/>
      <c r="O77" s="1017"/>
      <c r="R77" s="1017"/>
      <c r="S77" s="1017"/>
      <c r="T77" s="1017"/>
      <c r="V77" s="999"/>
      <c r="W77" s="999"/>
      <c r="X77" s="1017"/>
      <c r="Y77" s="1017"/>
      <c r="Z77" s="1017"/>
      <c r="AA77" s="999"/>
      <c r="AB77" s="999"/>
      <c r="AC77" s="1017"/>
      <c r="AD77" s="1017"/>
      <c r="AE77" s="1017"/>
      <c r="AF77" s="999"/>
      <c r="AG77" s="999"/>
      <c r="AH77" s="999"/>
      <c r="AI77" s="1017"/>
      <c r="AJ77" s="1017"/>
      <c r="AK77" s="1017"/>
      <c r="AL77" s="999"/>
      <c r="AO77" s="999"/>
      <c r="AQ77" s="1017"/>
      <c r="AR77" s="1017"/>
      <c r="AS77" s="1017"/>
    </row>
    <row r="78" spans="1:49" s="758" customFormat="1" x14ac:dyDescent="0.25">
      <c r="A78" s="170" t="s">
        <v>228</v>
      </c>
      <c r="B78" s="170"/>
      <c r="F78" s="954"/>
      <c r="K78" s="999"/>
      <c r="M78" s="1017"/>
      <c r="N78" s="1017"/>
      <c r="O78" s="1017"/>
      <c r="R78" s="1017"/>
      <c r="S78" s="1017"/>
      <c r="T78" s="1017"/>
      <c r="V78" s="999"/>
      <c r="W78" s="999"/>
      <c r="X78" s="1017"/>
      <c r="Y78" s="1017"/>
      <c r="Z78" s="1017"/>
      <c r="AA78" s="999"/>
      <c r="AB78" s="999"/>
      <c r="AC78" s="1017"/>
      <c r="AD78" s="1017"/>
      <c r="AE78" s="1017"/>
      <c r="AF78" s="999"/>
      <c r="AG78" s="999"/>
      <c r="AH78" s="999"/>
      <c r="AI78" s="1017"/>
      <c r="AJ78" s="1017"/>
      <c r="AK78" s="1017"/>
      <c r="AL78" s="999"/>
      <c r="AO78" s="999"/>
      <c r="AQ78" s="1017"/>
      <c r="AR78" s="1017"/>
      <c r="AS78" s="1017"/>
    </row>
    <row r="79" spans="1:49" s="758" customFormat="1" ht="14.25" customHeight="1" x14ac:dyDescent="0.25">
      <c r="A79" s="1236" t="s">
        <v>5272</v>
      </c>
      <c r="B79" s="1236"/>
      <c r="C79" s="1236"/>
      <c r="D79" s="1236"/>
      <c r="E79" s="1236"/>
      <c r="F79" s="1236"/>
      <c r="G79" s="1236"/>
      <c r="H79" s="1236"/>
      <c r="I79" s="1236"/>
      <c r="J79" s="1236"/>
      <c r="K79" s="1236"/>
      <c r="L79" s="1236"/>
      <c r="M79" s="1236"/>
      <c r="N79" s="1236"/>
      <c r="O79" s="1236"/>
      <c r="P79" s="1236"/>
      <c r="Q79" s="1236"/>
      <c r="R79" s="1236"/>
      <c r="S79" s="1017"/>
      <c r="T79" s="1017"/>
      <c r="V79" s="999"/>
      <c r="W79" s="999"/>
      <c r="X79" s="1017"/>
      <c r="Y79" s="1017"/>
      <c r="Z79" s="1017"/>
      <c r="AA79" s="999"/>
      <c r="AB79" s="999"/>
      <c r="AC79" s="1017"/>
      <c r="AD79" s="1017"/>
      <c r="AE79" s="1017"/>
      <c r="AF79" s="999"/>
      <c r="AG79" s="999"/>
      <c r="AH79" s="999"/>
      <c r="AI79" s="1017"/>
      <c r="AJ79" s="1017"/>
      <c r="AK79" s="1017"/>
      <c r="AL79" s="999"/>
      <c r="AO79" s="999"/>
      <c r="AQ79" s="1017"/>
      <c r="AR79" s="1017"/>
      <c r="AS79" s="1017"/>
    </row>
    <row r="80" spans="1:49" s="758" customFormat="1" x14ac:dyDescent="0.25">
      <c r="A80" s="737" t="s">
        <v>229</v>
      </c>
      <c r="B80" s="949"/>
      <c r="C80" s="949"/>
      <c r="D80" s="949"/>
      <c r="E80" s="949"/>
      <c r="F80" s="943"/>
      <c r="G80" s="949"/>
      <c r="H80" s="949"/>
      <c r="I80" s="949"/>
      <c r="J80" s="949"/>
      <c r="K80" s="949"/>
      <c r="L80" s="949"/>
      <c r="M80" s="949"/>
      <c r="N80" s="944"/>
      <c r="O80" s="1017"/>
      <c r="R80" s="1017"/>
      <c r="S80" s="1017"/>
      <c r="T80" s="1017"/>
      <c r="V80" s="999"/>
      <c r="W80" s="999"/>
      <c r="X80" s="1017"/>
      <c r="Y80" s="1017"/>
      <c r="Z80" s="1017"/>
      <c r="AA80" s="999"/>
      <c r="AB80" s="999"/>
      <c r="AC80" s="1017"/>
      <c r="AD80" s="1017"/>
      <c r="AE80" s="1017"/>
      <c r="AF80" s="999"/>
      <c r="AG80" s="999"/>
      <c r="AH80" s="999"/>
      <c r="AI80" s="1017"/>
      <c r="AJ80" s="1017"/>
      <c r="AK80" s="1017"/>
      <c r="AL80" s="999"/>
      <c r="AO80" s="999"/>
      <c r="AQ80" s="1017"/>
      <c r="AR80" s="1017"/>
      <c r="AS80" s="1017"/>
    </row>
    <row r="81" spans="1:49" s="758" customFormat="1" x14ac:dyDescent="0.25">
      <c r="A81" s="737" t="s">
        <v>230</v>
      </c>
      <c r="B81" s="944"/>
      <c r="C81" s="944"/>
      <c r="D81" s="944"/>
      <c r="E81" s="944"/>
      <c r="F81" s="943"/>
      <c r="G81" s="944"/>
      <c r="H81" s="944"/>
      <c r="I81" s="944"/>
      <c r="J81" s="944"/>
      <c r="K81" s="944"/>
      <c r="L81" s="944"/>
      <c r="M81" s="944"/>
      <c r="N81" s="944"/>
      <c r="O81" s="1017"/>
      <c r="R81" s="1017"/>
      <c r="S81" s="1017"/>
      <c r="T81" s="1017"/>
      <c r="V81" s="999"/>
      <c r="W81" s="999"/>
      <c r="X81" s="1017"/>
      <c r="Y81" s="1017"/>
      <c r="Z81" s="1017"/>
      <c r="AA81" s="999"/>
      <c r="AB81" s="999"/>
      <c r="AC81" s="1017"/>
      <c r="AD81" s="1017"/>
      <c r="AE81" s="1017"/>
      <c r="AF81" s="999"/>
      <c r="AG81" s="999"/>
      <c r="AH81" s="999"/>
      <c r="AI81" s="1017"/>
      <c r="AJ81" s="1017"/>
      <c r="AK81" s="1017"/>
      <c r="AL81" s="999"/>
      <c r="AO81" s="999"/>
      <c r="AQ81" s="1017"/>
      <c r="AR81" s="1017"/>
      <c r="AS81" s="1017"/>
    </row>
    <row r="82" spans="1:49" s="758" customFormat="1" ht="14.85" customHeight="1" x14ac:dyDescent="0.25">
      <c r="A82" s="1226" t="s">
        <v>231</v>
      </c>
      <c r="B82" s="1226"/>
      <c r="C82" s="1226"/>
      <c r="D82" s="1226"/>
      <c r="E82" s="1226"/>
      <c r="F82" s="1226"/>
      <c r="G82" s="1226"/>
      <c r="H82" s="1226"/>
      <c r="I82" s="1226"/>
      <c r="J82" s="1226"/>
      <c r="K82" s="1226"/>
      <c r="L82" s="1226"/>
      <c r="M82" s="1226"/>
      <c r="N82" s="1226"/>
      <c r="O82" s="1226"/>
      <c r="P82" s="1226"/>
      <c r="Q82" s="1226"/>
      <c r="R82" s="1226"/>
      <c r="S82" s="1226"/>
      <c r="T82" s="1226"/>
      <c r="U82" s="1226"/>
      <c r="V82" s="1226"/>
      <c r="W82" s="1226"/>
      <c r="X82" s="1226"/>
      <c r="Y82" s="1226"/>
      <c r="Z82" s="1226"/>
      <c r="AA82" s="1226"/>
      <c r="AB82" s="1226"/>
      <c r="AC82" s="1017"/>
      <c r="AD82" s="1017"/>
      <c r="AE82" s="1017"/>
      <c r="AF82" s="999"/>
      <c r="AG82" s="999"/>
      <c r="AH82" s="999"/>
      <c r="AI82" s="1017"/>
      <c r="AJ82" s="1017"/>
      <c r="AK82" s="1017"/>
      <c r="AL82" s="999"/>
      <c r="AO82" s="999"/>
      <c r="AQ82" s="1017"/>
      <c r="AR82" s="1017"/>
      <c r="AS82" s="1017"/>
    </row>
    <row r="83" spans="1:49" s="758" customFormat="1" x14ac:dyDescent="0.25">
      <c r="A83" s="589" t="s">
        <v>232</v>
      </c>
      <c r="B83" s="589"/>
      <c r="F83" s="954"/>
      <c r="K83" s="999"/>
      <c r="M83" s="1017"/>
      <c r="N83" s="1017"/>
      <c r="O83" s="1017"/>
      <c r="R83" s="1017"/>
      <c r="S83" s="1017"/>
      <c r="T83" s="1017"/>
      <c r="V83" s="999"/>
      <c r="W83" s="999"/>
      <c r="X83" s="1017"/>
      <c r="Y83" s="1017"/>
      <c r="Z83" s="1017"/>
      <c r="AA83" s="999"/>
      <c r="AB83" s="999"/>
      <c r="AC83" s="1017"/>
      <c r="AD83" s="1017"/>
      <c r="AE83" s="1017"/>
      <c r="AF83" s="999"/>
      <c r="AG83" s="999"/>
      <c r="AH83" s="999"/>
      <c r="AI83" s="1017"/>
      <c r="AJ83" s="1017"/>
      <c r="AK83" s="1017"/>
      <c r="AL83" s="999"/>
      <c r="AO83" s="999"/>
      <c r="AQ83" s="1017"/>
      <c r="AR83" s="1017"/>
      <c r="AS83" s="1017"/>
    </row>
    <row r="84" spans="1:49" x14ac:dyDescent="0.25">
      <c r="A84" s="589" t="s">
        <v>962</v>
      </c>
      <c r="S84" s="1009"/>
      <c r="T84" s="1009"/>
      <c r="U84" s="1009"/>
      <c r="V84" s="1001"/>
      <c r="W84" s="1001"/>
      <c r="Z84" s="1009"/>
      <c r="AA84" s="1009"/>
      <c r="AB84" s="1009"/>
      <c r="AN84" s="49"/>
      <c r="AO84" s="1002"/>
      <c r="AQ84" s="1000"/>
      <c r="AV84" s="49"/>
      <c r="AW84" s="49"/>
    </row>
    <row r="85" spans="1:49" x14ac:dyDescent="0.25">
      <c r="B85" s="906"/>
      <c r="S85" s="1009"/>
      <c r="T85" s="1009"/>
      <c r="U85" s="1009"/>
      <c r="V85" s="1001"/>
      <c r="W85" s="1001"/>
      <c r="Z85" s="1009"/>
      <c r="AA85" s="1009"/>
      <c r="AB85" s="1009"/>
      <c r="AN85" s="49"/>
      <c r="AO85" s="1002"/>
      <c r="AQ85" s="1000"/>
      <c r="AV85" s="49"/>
      <c r="AW85" s="49"/>
    </row>
    <row r="86" spans="1:49" x14ac:dyDescent="0.25">
      <c r="B86" s="908"/>
    </row>
  </sheetData>
  <sortState ref="A5:BA74">
    <sortCondition ref="D5:D74"/>
    <sortCondition ref="E5:E74"/>
  </sortState>
  <mergeCells count="42">
    <mergeCell ref="A82:AB82"/>
    <mergeCell ref="A79:R79"/>
    <mergeCell ref="B63:B64"/>
    <mergeCell ref="B68:B69"/>
    <mergeCell ref="B70:B71"/>
    <mergeCell ref="B72:B73"/>
    <mergeCell ref="F63:F64"/>
    <mergeCell ref="F6:F7"/>
    <mergeCell ref="F21:F22"/>
    <mergeCell ref="F32:F33"/>
    <mergeCell ref="F36:F37"/>
    <mergeCell ref="F48:F49"/>
    <mergeCell ref="B46:B50"/>
    <mergeCell ref="B31:B33"/>
    <mergeCell ref="B36:B37"/>
    <mergeCell ref="B55:B57"/>
    <mergeCell ref="B59:B61"/>
    <mergeCell ref="B6:B7"/>
    <mergeCell ref="B15:B16"/>
    <mergeCell ref="B18:B19"/>
    <mergeCell ref="B20:B22"/>
    <mergeCell ref="B23:B24"/>
    <mergeCell ref="AJ2:AP2"/>
    <mergeCell ref="AR2:AW2"/>
    <mergeCell ref="L2:W2"/>
    <mergeCell ref="Y2:AH2"/>
    <mergeCell ref="L3:Q3"/>
    <mergeCell ref="R3:W3"/>
    <mergeCell ref="AD3:AH3"/>
    <mergeCell ref="AJ3:AP3"/>
    <mergeCell ref="AR3:AW3"/>
    <mergeCell ref="Y3:AC3"/>
    <mergeCell ref="H6:H7"/>
    <mergeCell ref="H18:H19"/>
    <mergeCell ref="H20:H22"/>
    <mergeCell ref="H23:H24"/>
    <mergeCell ref="H31:H33"/>
    <mergeCell ref="H36:H37"/>
    <mergeCell ref="H46:H50"/>
    <mergeCell ref="H63:H64"/>
    <mergeCell ref="H68:H69"/>
    <mergeCell ref="H72:H73"/>
  </mergeCells>
  <phoneticPr fontId="101" type="noConversion"/>
  <conditionalFormatting sqref="Q4">
    <cfRule type="cellIs" dxfId="92" priority="2" operator="lessThan">
      <formula>0.0007</formula>
    </cfRule>
  </conditionalFormatting>
  <conditionalFormatting sqref="W4">
    <cfRule type="cellIs" dxfId="91" priority="1" operator="lessThan">
      <formula>0.0007</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26</vt:i4>
      </vt:variant>
    </vt:vector>
  </HeadingPairs>
  <TitlesOfParts>
    <vt:vector size="57" baseType="lpstr">
      <vt:lpstr>STable_Sdata_renumber</vt:lpstr>
      <vt:lpstr>Table 1</vt:lpstr>
      <vt:lpstr>Table 2</vt:lpstr>
      <vt:lpstr>SD1. Study Designs</vt:lpstr>
      <vt:lpstr>SD2. Genotyping and QC</vt:lpstr>
      <vt:lpstr>SD3. Study Descriptives</vt:lpstr>
      <vt:lpstr>SD4. Suggestive SNVs-CombSexes</vt:lpstr>
      <vt:lpstr>SD5. Suggestive SNVs-Men</vt:lpstr>
      <vt:lpstr>SD6. Suggestive SNVs-Women</vt:lpstr>
      <vt:lpstr>ST1. Collider_bias</vt:lpstr>
      <vt:lpstr>ST2. Gene-based Results</vt:lpstr>
      <vt:lpstr>ST3. ConditnlDiscovry-Multi</vt:lpstr>
      <vt:lpstr>SD7. GWASconditional-ukbb</vt:lpstr>
      <vt:lpstr>ST4. GWASconditional_EC</vt:lpstr>
      <vt:lpstr>SD8. DEPICT All SNVs</vt:lpstr>
      <vt:lpstr>SD9. DEPICT Novel SNVs</vt:lpstr>
      <vt:lpstr>SD10. PASCAL</vt:lpstr>
      <vt:lpstr>STD11. Cross Trait Lookups</vt:lpstr>
      <vt:lpstr>ST5. Total Body Fat lookups</vt:lpstr>
      <vt:lpstr>ST6. Truncal Fat lookups</vt:lpstr>
      <vt:lpstr>SD12. GWAS Catalog Lookups</vt:lpstr>
      <vt:lpstr>SD13. Monogenic gene lists</vt:lpstr>
      <vt:lpstr>ST7. Variance Explained</vt:lpstr>
      <vt:lpstr>ST8. UKBB Penetrance Anal</vt:lpstr>
      <vt:lpstr>ST9. Fly Results</vt:lpstr>
      <vt:lpstr>SD14. eQTL_METSIM</vt:lpstr>
      <vt:lpstr>SD15. eQTL_GTEx </vt:lpstr>
      <vt:lpstr>SD16. Locus Lookups</vt:lpstr>
      <vt:lpstr>SD17. VEP annotation</vt:lpstr>
      <vt:lpstr>ST10. Inflation_Factor</vt:lpstr>
      <vt:lpstr>SD18.Acknowledgements</vt:lpstr>
      <vt:lpstr>a</vt:lpstr>
      <vt:lpstr>alla</vt:lpstr>
      <vt:lpstr>allm</vt:lpstr>
      <vt:lpstr>allw</vt:lpstr>
      <vt:lpstr>cond</vt:lpstr>
      <vt:lpstr>m</vt:lpstr>
      <vt:lpstr>men</vt:lpstr>
      <vt:lpstr>menkeep</vt:lpstr>
      <vt:lpstr>'SD1. Study Designs'!Print_Area</vt:lpstr>
      <vt:lpstr>'SD15. eQTL_GTEx '!Print_Area</vt:lpstr>
      <vt:lpstr>'SD2. Genotyping and QC'!Print_Area</vt:lpstr>
      <vt:lpstr>'SD3. Study Descriptives'!Print_Area</vt:lpstr>
      <vt:lpstr>'SD7. GWASconditional-ukbb'!Print_Area</vt:lpstr>
      <vt:lpstr>'ST1. Collider_bias'!Print_Area</vt:lpstr>
      <vt:lpstr>'ST10. Inflation_Factor'!Print_Area</vt:lpstr>
      <vt:lpstr>'ST2. Gene-based Results'!Print_Area</vt:lpstr>
      <vt:lpstr>'ST3. ConditnlDiscovry-Multi'!Print_Area</vt:lpstr>
      <vt:lpstr>'ST4. GWASconditional_EC'!Print_Area</vt:lpstr>
      <vt:lpstr>'ST5. Total Body Fat lookups'!Print_Area</vt:lpstr>
      <vt:lpstr>'ST6. Truncal Fat lookups'!Print_Area</vt:lpstr>
      <vt:lpstr>'ST7. Variance Explained'!Print_Area</vt:lpstr>
      <vt:lpstr>'ST8. UKBB Penetrance Anal'!Print_Area</vt:lpstr>
      <vt:lpstr>snps</vt:lpstr>
      <vt:lpstr>w</vt:lpstr>
      <vt:lpstr>wkeep</vt:lpstr>
      <vt:lpstr>women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dc:creator>
  <cp:keywords/>
  <dc:description/>
  <cp:lastModifiedBy>Justice, Anne E.</cp:lastModifiedBy>
  <cp:revision/>
  <cp:lastPrinted>2018-08-10T00:34:06Z</cp:lastPrinted>
  <dcterms:created xsi:type="dcterms:W3CDTF">2016-01-18T18:35:50Z</dcterms:created>
  <dcterms:modified xsi:type="dcterms:W3CDTF">2018-09-06T17:18:48Z</dcterms:modified>
  <cp:category/>
  <cp:contentStatus/>
</cp:coreProperties>
</file>